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Budget Folder\2018 Referendum Folder\Budget Folders\"/>
    </mc:Choice>
  </mc:AlternateContent>
  <bookViews>
    <workbookView xWindow="0" yWindow="0" windowWidth="20520" windowHeight="9975" tabRatio="602" firstSheet="6" activeTab="10"/>
  </bookViews>
  <sheets>
    <sheet name="Sheet1" sheetId="18" state="hidden" r:id="rId1"/>
    <sheet name="Update Memo to BOD" sheetId="15" state="hidden" r:id="rId2"/>
    <sheet name="3&amp;9 Memo to BOD" sheetId="13" state="hidden" r:id="rId3"/>
    <sheet name="Draft of 6&amp;6" sheetId="19" state="hidden" r:id="rId4"/>
    <sheet name="A.S.I. Memo to FC6&amp;6" sheetId="9" state="hidden" r:id="rId5"/>
    <sheet name="A.S.I. Memo to Fin" sheetId="12" state="hidden" r:id="rId6"/>
    <sheet name="Cover Sheet" sheetId="7" r:id="rId7"/>
    <sheet name="Student Fees" sheetId="6" state="hidden" r:id="rId8"/>
    <sheet name="Sheet2" sheetId="17" state="hidden" r:id="rId9"/>
    <sheet name="Sheet3" sheetId="20" state="hidden" r:id="rId10"/>
    <sheet name="A.S.I. Revenue Projections" sheetId="24" r:id="rId11"/>
    <sheet name="Revenue &amp; Investments $21" sheetId="22" state="hidden" r:id="rId12"/>
    <sheet name="College Year Projections2017-18" sheetId="26" state="hidden" r:id="rId13"/>
    <sheet name="Administration" sheetId="4" r:id="rId14"/>
    <sheet name="Student Government" sheetId="1" r:id="rId15"/>
    <sheet name="Student Service Center" sheetId="2" state="hidden" r:id="rId16"/>
    <sheet name="Student &amp; University Support" sheetId="3" r:id="rId17"/>
    <sheet name="4Yr Projection" sheetId="5" r:id="rId18"/>
    <sheet name="2014 Student Rev Project $21" sheetId="21" state="hidden" r:id="rId19"/>
    <sheet name="Comment Variance Explanation" sheetId="23" state="hidden"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Print_Area" localSheetId="17">'4Yr Projection'!$B$1:$E$57</definedName>
    <definedName name="_xlnm.Print_Area" localSheetId="13">Administration!$B$1:$I$47</definedName>
  </definedNames>
  <calcPr calcId="162913" concurrentCalc="0"/>
</workbook>
</file>

<file path=xl/calcChain.xml><?xml version="1.0" encoding="utf-8"?>
<calcChain xmlns="http://schemas.openxmlformats.org/spreadsheetml/2006/main">
  <c r="N63" i="24" l="1"/>
  <c r="F41" i="24"/>
  <c r="J55" i="24"/>
  <c r="D49" i="24"/>
  <c r="D56" i="24"/>
  <c r="D63" i="24"/>
  <c r="D48" i="24"/>
  <c r="D55" i="24"/>
  <c r="D62" i="24"/>
  <c r="E16" i="5"/>
  <c r="E7" i="5"/>
  <c r="E9" i="5"/>
  <c r="E18" i="5"/>
  <c r="E26" i="5"/>
  <c r="E38" i="4"/>
  <c r="E39" i="4"/>
  <c r="E29" i="4"/>
  <c r="E30" i="4"/>
  <c r="E31" i="4"/>
  <c r="E32" i="4"/>
  <c r="E33" i="4"/>
  <c r="E34" i="4"/>
  <c r="E35" i="4"/>
  <c r="E25" i="4"/>
  <c r="E26" i="4"/>
  <c r="E15" i="4"/>
  <c r="E16" i="4"/>
  <c r="E17" i="4"/>
  <c r="E18" i="4"/>
  <c r="E19" i="4"/>
  <c r="E20" i="4"/>
  <c r="E21" i="4"/>
  <c r="E22" i="4"/>
  <c r="E9" i="4"/>
  <c r="E10" i="4"/>
  <c r="E11" i="4"/>
  <c r="E12" i="4"/>
  <c r="E41" i="4"/>
  <c r="E21" i="5"/>
  <c r="E44" i="1"/>
  <c r="E45" i="1"/>
  <c r="E39" i="1"/>
  <c r="E21" i="1"/>
  <c r="E22" i="1"/>
  <c r="E14" i="1"/>
  <c r="E15" i="1"/>
  <c r="E16" i="1"/>
  <c r="E17" i="1"/>
  <c r="E18" i="1"/>
  <c r="E8" i="1"/>
  <c r="E9" i="1"/>
  <c r="E10" i="1"/>
  <c r="E11" i="1"/>
  <c r="E25" i="1"/>
  <c r="E26" i="1"/>
  <c r="E29" i="1"/>
  <c r="E30" i="1"/>
  <c r="E31" i="1"/>
  <c r="E32" i="1"/>
  <c r="E33" i="1"/>
  <c r="E40" i="1"/>
  <c r="E41" i="1"/>
  <c r="E47" i="1"/>
  <c r="E22" i="5"/>
  <c r="E33" i="3"/>
  <c r="E34" i="3"/>
  <c r="E35" i="3"/>
  <c r="E36" i="3"/>
  <c r="E37" i="3"/>
  <c r="E38" i="3"/>
  <c r="E39" i="3"/>
  <c r="E27" i="3"/>
  <c r="E28" i="3"/>
  <c r="E29" i="3"/>
  <c r="E30" i="3"/>
  <c r="E20" i="3"/>
  <c r="E21" i="3"/>
  <c r="E22" i="3"/>
  <c r="E23" i="3"/>
  <c r="E24" i="3"/>
  <c r="E42" i="3"/>
  <c r="E23" i="5"/>
  <c r="E24" i="5"/>
  <c r="E27" i="5"/>
  <c r="E29" i="5"/>
  <c r="F12" i="5"/>
  <c r="G12" i="5"/>
  <c r="H12" i="5"/>
  <c r="I12" i="5"/>
  <c r="E6" i="3"/>
  <c r="F6" i="3"/>
  <c r="E7" i="3"/>
  <c r="F7" i="3"/>
  <c r="E8" i="3"/>
  <c r="F8" i="3"/>
  <c r="E9" i="3"/>
  <c r="F9" i="3"/>
  <c r="E10" i="3"/>
  <c r="F10" i="3"/>
  <c r="E11" i="3"/>
  <c r="F11" i="3"/>
  <c r="E12" i="3"/>
  <c r="F12" i="3"/>
  <c r="E13" i="3"/>
  <c r="F13" i="3"/>
  <c r="E14" i="3"/>
  <c r="F14" i="3"/>
  <c r="F15" i="3"/>
  <c r="F13" i="5"/>
  <c r="G13" i="5"/>
  <c r="H13" i="5"/>
  <c r="I13" i="5"/>
  <c r="I16" i="5"/>
  <c r="F48" i="24"/>
  <c r="F55" i="24"/>
  <c r="F62" i="24"/>
  <c r="G62" i="24"/>
  <c r="F42" i="24"/>
  <c r="F49" i="24"/>
  <c r="F56" i="24"/>
  <c r="F63" i="24"/>
  <c r="G63" i="24"/>
  <c r="H62" i="24"/>
  <c r="H64" i="24"/>
  <c r="I7" i="5"/>
  <c r="I9" i="5"/>
  <c r="I18" i="5"/>
  <c r="I26" i="5"/>
  <c r="F15" i="4"/>
  <c r="F16" i="4"/>
  <c r="F17" i="4"/>
  <c r="F18" i="4"/>
  <c r="F19" i="4"/>
  <c r="F20" i="4"/>
  <c r="F21" i="4"/>
  <c r="F22" i="4"/>
  <c r="F25" i="4"/>
  <c r="F26" i="4"/>
  <c r="F29" i="4"/>
  <c r="F30" i="4"/>
  <c r="F31" i="4"/>
  <c r="F32" i="4"/>
  <c r="F33" i="4"/>
  <c r="F34" i="4"/>
  <c r="F35" i="4"/>
  <c r="F38" i="4"/>
  <c r="F39" i="4"/>
  <c r="M8" i="4"/>
  <c r="M9" i="4"/>
  <c r="M10" i="4"/>
  <c r="M11" i="4"/>
  <c r="F9" i="4"/>
  <c r="J7" i="4"/>
  <c r="J12" i="4"/>
  <c r="J17" i="4"/>
  <c r="J22" i="4"/>
  <c r="F11" i="4"/>
  <c r="J9" i="4"/>
  <c r="J14" i="4"/>
  <c r="J19" i="4"/>
  <c r="J23" i="4"/>
  <c r="J24" i="4"/>
  <c r="J25" i="4"/>
  <c r="K26" i="4"/>
  <c r="I21" i="5"/>
  <c r="F14" i="1"/>
  <c r="F15" i="1"/>
  <c r="F16" i="1"/>
  <c r="F17" i="1"/>
  <c r="F18" i="1"/>
  <c r="F21" i="1"/>
  <c r="F22" i="1"/>
  <c r="F25" i="1"/>
  <c r="F26" i="1"/>
  <c r="F29" i="1"/>
  <c r="F30" i="1"/>
  <c r="F31" i="1"/>
  <c r="F32" i="1"/>
  <c r="F33" i="1"/>
  <c r="F36" i="1"/>
  <c r="F38" i="1"/>
  <c r="F39" i="1"/>
  <c r="F44" i="1"/>
  <c r="F45" i="1"/>
  <c r="F40" i="1"/>
  <c r="F41" i="1"/>
  <c r="M8" i="1"/>
  <c r="M9" i="1"/>
  <c r="M10" i="1"/>
  <c r="M11" i="1"/>
  <c r="F8" i="1"/>
  <c r="J7" i="1"/>
  <c r="J12" i="1"/>
  <c r="J17" i="1"/>
  <c r="J23" i="1"/>
  <c r="F9" i="1"/>
  <c r="J8" i="1"/>
  <c r="J13" i="1"/>
  <c r="J18" i="1"/>
  <c r="J24" i="1"/>
  <c r="F10" i="1"/>
  <c r="J9" i="1"/>
  <c r="J14" i="1"/>
  <c r="J19" i="1"/>
  <c r="J25" i="1"/>
  <c r="J26" i="1"/>
  <c r="K27" i="1"/>
  <c r="I22" i="5"/>
  <c r="F20" i="3"/>
  <c r="F21" i="3"/>
  <c r="F22" i="3"/>
  <c r="F23" i="3"/>
  <c r="F24" i="3"/>
  <c r="F27" i="3"/>
  <c r="F28" i="3"/>
  <c r="F29" i="3"/>
  <c r="F30" i="3"/>
  <c r="F33" i="3"/>
  <c r="F34" i="3"/>
  <c r="F35" i="3"/>
  <c r="F36" i="3"/>
  <c r="F37" i="3"/>
  <c r="F38" i="3"/>
  <c r="F39" i="3"/>
  <c r="J9" i="3"/>
  <c r="J10" i="3"/>
  <c r="J11" i="3"/>
  <c r="J12" i="3"/>
  <c r="I23" i="5"/>
  <c r="I24" i="5"/>
  <c r="I27" i="5"/>
  <c r="I29" i="5"/>
  <c r="H16" i="5"/>
  <c r="G55" i="24"/>
  <c r="G56" i="24"/>
  <c r="H55" i="24"/>
  <c r="H58" i="24"/>
  <c r="H7" i="5"/>
  <c r="H9" i="5"/>
  <c r="H18" i="5"/>
  <c r="H26" i="5"/>
  <c r="F10" i="4"/>
  <c r="J8" i="4"/>
  <c r="J13" i="4"/>
  <c r="J18" i="4"/>
  <c r="J20" i="4"/>
  <c r="K21" i="4"/>
  <c r="H21" i="5"/>
  <c r="J20" i="1"/>
  <c r="K22" i="1"/>
  <c r="H22" i="5"/>
  <c r="H23" i="5"/>
  <c r="H24" i="5"/>
  <c r="H27" i="5"/>
  <c r="H29" i="5"/>
  <c r="G16" i="5"/>
  <c r="G48" i="24"/>
  <c r="G49" i="24"/>
  <c r="H48" i="24"/>
  <c r="H51" i="24"/>
  <c r="G7" i="5"/>
  <c r="G9" i="5"/>
  <c r="G18" i="5"/>
  <c r="G26" i="5"/>
  <c r="J15" i="4"/>
  <c r="K16" i="4"/>
  <c r="G21" i="5"/>
  <c r="J15" i="1"/>
  <c r="K16" i="1"/>
  <c r="G22" i="5"/>
  <c r="G23" i="5"/>
  <c r="G24" i="5"/>
  <c r="G27" i="5"/>
  <c r="G29" i="5"/>
  <c r="F16" i="5"/>
  <c r="G41" i="24"/>
  <c r="G42" i="24"/>
  <c r="H41" i="24"/>
  <c r="H44" i="24"/>
  <c r="F7" i="5"/>
  <c r="F9" i="5"/>
  <c r="F18" i="5"/>
  <c r="F26" i="5"/>
  <c r="J10" i="4"/>
  <c r="K11" i="4"/>
  <c r="F21" i="5"/>
  <c r="J10" i="1"/>
  <c r="K11" i="1"/>
  <c r="F22" i="5"/>
  <c r="F23" i="5"/>
  <c r="F24" i="5"/>
  <c r="F27" i="5"/>
  <c r="F29" i="5"/>
  <c r="L5" i="1"/>
  <c r="I5" i="3"/>
  <c r="C44" i="1"/>
  <c r="C45" i="1"/>
  <c r="C29" i="1"/>
  <c r="C32" i="1"/>
  <c r="C30" i="1"/>
  <c r="C31" i="1"/>
  <c r="C33" i="1"/>
  <c r="C25" i="1"/>
  <c r="C26" i="1"/>
  <c r="C21" i="1"/>
  <c r="C22" i="1"/>
  <c r="C14" i="1"/>
  <c r="C15" i="1"/>
  <c r="C16" i="1"/>
  <c r="C18" i="1"/>
  <c r="C8" i="1"/>
  <c r="C9" i="1"/>
  <c r="C10" i="1"/>
  <c r="C11" i="1"/>
  <c r="C40" i="1"/>
  <c r="C41" i="1"/>
  <c r="C39" i="1"/>
  <c r="C47" i="1"/>
  <c r="C29" i="4"/>
  <c r="C30" i="4"/>
  <c r="C31" i="4"/>
  <c r="C32" i="4"/>
  <c r="C33" i="4"/>
  <c r="C34" i="4"/>
  <c r="C35" i="4"/>
  <c r="C25" i="4"/>
  <c r="C26" i="4"/>
  <c r="C15" i="4"/>
  <c r="C16" i="4"/>
  <c r="C17" i="4"/>
  <c r="C18" i="4"/>
  <c r="C19" i="4"/>
  <c r="C20" i="4"/>
  <c r="C21" i="4"/>
  <c r="C22" i="4"/>
  <c r="C9" i="4"/>
  <c r="C10" i="4"/>
  <c r="C11" i="4"/>
  <c r="C12" i="4"/>
  <c r="C38" i="4"/>
  <c r="C39" i="4"/>
  <c r="C41" i="4"/>
  <c r="F11" i="1"/>
  <c r="F47" i="1"/>
  <c r="F12" i="4"/>
  <c r="F41" i="4"/>
  <c r="C21" i="5"/>
  <c r="F1" i="1"/>
  <c r="F1" i="3"/>
  <c r="F2" i="1"/>
  <c r="F2" i="2"/>
  <c r="F2" i="3"/>
  <c r="J41" i="24"/>
  <c r="N42" i="24"/>
  <c r="B70" i="26"/>
  <c r="C70" i="26"/>
  <c r="D70" i="26"/>
  <c r="F70" i="26"/>
  <c r="E70" i="26"/>
  <c r="B69" i="26"/>
  <c r="C69" i="26"/>
  <c r="D69" i="26"/>
  <c r="F69" i="26"/>
  <c r="E69" i="26"/>
  <c r="B68" i="26"/>
  <c r="C68" i="26"/>
  <c r="D68" i="26"/>
  <c r="F68" i="26"/>
  <c r="E68" i="26"/>
  <c r="F67" i="26"/>
  <c r="E67" i="26"/>
  <c r="F66" i="26"/>
  <c r="E66" i="26"/>
  <c r="B65" i="26"/>
  <c r="C65" i="26"/>
  <c r="D65" i="26"/>
  <c r="F65" i="26"/>
  <c r="E65" i="26"/>
  <c r="F64" i="26"/>
  <c r="E64" i="26"/>
  <c r="F63" i="26"/>
  <c r="E63" i="26"/>
  <c r="B61" i="26"/>
  <c r="C61" i="26"/>
  <c r="D61" i="26"/>
  <c r="F61" i="26"/>
  <c r="E61" i="26"/>
  <c r="F60" i="26"/>
  <c r="E60" i="26"/>
  <c r="F59" i="26"/>
  <c r="E59" i="26"/>
  <c r="B57" i="26"/>
  <c r="C57" i="26"/>
  <c r="D57" i="26"/>
  <c r="F57" i="26"/>
  <c r="E57" i="26"/>
  <c r="F56" i="26"/>
  <c r="E56" i="26"/>
  <c r="F55" i="26"/>
  <c r="E55" i="26"/>
  <c r="F54" i="26"/>
  <c r="E54" i="26"/>
  <c r="B17" i="26"/>
  <c r="B21" i="26"/>
  <c r="B13" i="26"/>
  <c r="B52" i="26"/>
  <c r="C17" i="26"/>
  <c r="C21" i="26"/>
  <c r="C13" i="26"/>
  <c r="C52" i="26"/>
  <c r="D17" i="26"/>
  <c r="D21" i="26"/>
  <c r="D13" i="26"/>
  <c r="D52" i="26"/>
  <c r="F52" i="26"/>
  <c r="E52" i="26"/>
  <c r="B51" i="26"/>
  <c r="C51" i="26"/>
  <c r="D51" i="26"/>
  <c r="F51" i="26"/>
  <c r="E51" i="26"/>
  <c r="B50" i="26"/>
  <c r="C50" i="26"/>
  <c r="D50" i="26"/>
  <c r="F50" i="26"/>
  <c r="E50" i="26"/>
  <c r="B18" i="26"/>
  <c r="B22" i="26"/>
  <c r="B14" i="26"/>
  <c r="B49" i="26"/>
  <c r="C18" i="26"/>
  <c r="C22" i="26"/>
  <c r="C14" i="26"/>
  <c r="C49" i="26"/>
  <c r="D18" i="26"/>
  <c r="D22" i="26"/>
  <c r="D14" i="26"/>
  <c r="D49" i="26"/>
  <c r="F49" i="26"/>
  <c r="E49" i="26"/>
  <c r="B48" i="26"/>
  <c r="C48" i="26"/>
  <c r="D48" i="26"/>
  <c r="F48" i="26"/>
  <c r="E48" i="26"/>
  <c r="B47" i="26"/>
  <c r="C47" i="26"/>
  <c r="D47" i="26"/>
  <c r="F47" i="26"/>
  <c r="E47" i="26"/>
  <c r="F46" i="26"/>
  <c r="E46" i="26"/>
  <c r="F45" i="26"/>
  <c r="E45" i="26"/>
  <c r="B43" i="26"/>
  <c r="C43" i="26"/>
  <c r="D43" i="26"/>
  <c r="F43" i="26"/>
  <c r="E43" i="26"/>
  <c r="F42" i="26"/>
  <c r="E42" i="26"/>
  <c r="F41" i="26"/>
  <c r="E41" i="26"/>
  <c r="B39" i="26"/>
  <c r="C39" i="26"/>
  <c r="D39" i="26"/>
  <c r="F39" i="26"/>
  <c r="E39" i="26"/>
  <c r="F38" i="26"/>
  <c r="E38" i="26"/>
  <c r="F37" i="26"/>
  <c r="E37" i="26"/>
  <c r="B35" i="26"/>
  <c r="C35" i="26"/>
  <c r="D35" i="26"/>
  <c r="F35" i="26"/>
  <c r="E35" i="26"/>
  <c r="F34" i="26"/>
  <c r="E34" i="26"/>
  <c r="F33" i="26"/>
  <c r="E33" i="26"/>
  <c r="B31" i="26"/>
  <c r="C31" i="26"/>
  <c r="D31" i="26"/>
  <c r="F31" i="26"/>
  <c r="E31" i="26"/>
  <c r="F30" i="26"/>
  <c r="E30" i="26"/>
  <c r="F29" i="26"/>
  <c r="E29" i="26"/>
  <c r="F28" i="26"/>
  <c r="B27" i="26"/>
  <c r="C27" i="26"/>
  <c r="D27" i="26"/>
  <c r="F27" i="26"/>
  <c r="E27" i="26"/>
  <c r="F26" i="26"/>
  <c r="E26" i="26"/>
  <c r="F25" i="26"/>
  <c r="E25" i="26"/>
  <c r="B23" i="26"/>
  <c r="C23" i="26"/>
  <c r="D23" i="26"/>
  <c r="F23" i="26"/>
  <c r="E23" i="26"/>
  <c r="F22" i="26"/>
  <c r="E22" i="26"/>
  <c r="F21" i="26"/>
  <c r="E21" i="26"/>
  <c r="B19" i="26"/>
  <c r="C19" i="26"/>
  <c r="D19" i="26"/>
  <c r="F19" i="26"/>
  <c r="E19" i="26"/>
  <c r="F18" i="26"/>
  <c r="E18" i="26"/>
  <c r="F17" i="26"/>
  <c r="E17" i="26"/>
  <c r="B15" i="26"/>
  <c r="C15" i="26"/>
  <c r="D15" i="26"/>
  <c r="F15" i="26"/>
  <c r="E15" i="26"/>
  <c r="F14" i="26"/>
  <c r="E14" i="26"/>
  <c r="F13" i="26"/>
  <c r="E13" i="26"/>
  <c r="B11" i="26"/>
  <c r="B12" i="26"/>
  <c r="C11" i="26"/>
  <c r="C12" i="26"/>
  <c r="D11" i="26"/>
  <c r="D12" i="26"/>
  <c r="F12" i="26"/>
  <c r="E12" i="26"/>
  <c r="F11" i="26"/>
  <c r="E11" i="26"/>
  <c r="F10" i="26"/>
  <c r="E10" i="26"/>
  <c r="F9" i="26"/>
  <c r="E9" i="26"/>
  <c r="F8" i="26"/>
  <c r="E8" i="26"/>
  <c r="B7" i="26"/>
  <c r="C7" i="26"/>
  <c r="D7" i="26"/>
  <c r="F7" i="26"/>
  <c r="E7" i="26"/>
  <c r="G28" i="3"/>
  <c r="H28" i="3"/>
  <c r="G45" i="23"/>
  <c r="B45" i="23"/>
  <c r="G27" i="3"/>
  <c r="H27" i="3"/>
  <c r="G43" i="23"/>
  <c r="B43" i="23"/>
  <c r="B42" i="23"/>
  <c r="G23" i="3"/>
  <c r="H23" i="3"/>
  <c r="G40" i="23"/>
  <c r="B40" i="23"/>
  <c r="G22" i="3"/>
  <c r="H22" i="3"/>
  <c r="G38" i="23"/>
  <c r="B38" i="23"/>
  <c r="G21" i="3"/>
  <c r="H21" i="3"/>
  <c r="G36" i="23"/>
  <c r="B36" i="23"/>
  <c r="B35" i="23"/>
  <c r="G13" i="3"/>
  <c r="H13" i="3"/>
  <c r="G33" i="23"/>
  <c r="B33" i="23"/>
  <c r="G10" i="3"/>
  <c r="H10" i="3"/>
  <c r="G31" i="23"/>
  <c r="B31" i="23"/>
  <c r="G9" i="3"/>
  <c r="H9" i="3"/>
  <c r="G29" i="23"/>
  <c r="B29" i="23"/>
  <c r="B28" i="23"/>
  <c r="B1" i="3"/>
  <c r="A26" i="23"/>
  <c r="G25" i="1"/>
  <c r="H25" i="1"/>
  <c r="G23" i="23"/>
  <c r="B23" i="23"/>
  <c r="B22" i="23"/>
  <c r="G21" i="1"/>
  <c r="H21" i="1"/>
  <c r="G20" i="23"/>
  <c r="B20" i="23"/>
  <c r="B19" i="23"/>
  <c r="G14" i="1"/>
  <c r="H14" i="1"/>
  <c r="G17" i="23"/>
  <c r="B17" i="23"/>
  <c r="B7" i="23"/>
  <c r="B16" i="23"/>
  <c r="A13" i="23"/>
  <c r="G26" i="4"/>
  <c r="H26" i="4"/>
  <c r="G11" i="23"/>
  <c r="B11" i="23"/>
  <c r="B10" i="23"/>
  <c r="G20" i="4"/>
  <c r="H20" i="4"/>
  <c r="G8" i="23"/>
  <c r="B8" i="23"/>
  <c r="G9" i="4"/>
  <c r="H9" i="4"/>
  <c r="G5" i="23"/>
  <c r="B5" i="23"/>
  <c r="B4" i="23"/>
  <c r="A2" i="23"/>
  <c r="C8" i="21"/>
  <c r="B59" i="21"/>
  <c r="D59" i="21"/>
  <c r="D64" i="21"/>
  <c r="D69" i="21"/>
  <c r="D74" i="21"/>
  <c r="G74" i="21"/>
  <c r="H74" i="21"/>
  <c r="C9" i="21"/>
  <c r="B60" i="21"/>
  <c r="D60" i="21"/>
  <c r="D65" i="21"/>
  <c r="D70" i="21"/>
  <c r="D75" i="21"/>
  <c r="F75" i="21"/>
  <c r="G75" i="21"/>
  <c r="H75" i="21"/>
  <c r="C10" i="21"/>
  <c r="B61" i="21"/>
  <c r="D61" i="21"/>
  <c r="D66" i="21"/>
  <c r="D71" i="21"/>
  <c r="D76" i="21"/>
  <c r="F76" i="21"/>
  <c r="G76" i="21"/>
  <c r="H76" i="21"/>
  <c r="C11" i="21"/>
  <c r="B62" i="21"/>
  <c r="D62" i="21"/>
  <c r="D67" i="21"/>
  <c r="D72" i="21"/>
  <c r="D77" i="21"/>
  <c r="F77" i="21"/>
  <c r="G77" i="21"/>
  <c r="H77" i="21"/>
  <c r="I77" i="21"/>
  <c r="J75" i="21"/>
  <c r="N76" i="21"/>
  <c r="C74" i="21"/>
  <c r="F70" i="21"/>
  <c r="F71" i="21"/>
  <c r="F72" i="21"/>
  <c r="O70" i="21"/>
  <c r="F65" i="21"/>
  <c r="F66" i="21"/>
  <c r="F67" i="21"/>
  <c r="O65" i="21"/>
  <c r="O69" i="21"/>
  <c r="O72" i="21"/>
  <c r="G69" i="21"/>
  <c r="H69" i="21"/>
  <c r="G70" i="21"/>
  <c r="H70" i="21"/>
  <c r="G71" i="21"/>
  <c r="H71" i="21"/>
  <c r="G72" i="21"/>
  <c r="H72" i="21"/>
  <c r="I72" i="21"/>
  <c r="O71" i="21"/>
  <c r="J70" i="21"/>
  <c r="N71" i="21"/>
  <c r="C69" i="21"/>
  <c r="F60" i="21"/>
  <c r="F61" i="21"/>
  <c r="F62" i="21"/>
  <c r="O60" i="21"/>
  <c r="O64" i="21"/>
  <c r="O67" i="21"/>
  <c r="G64" i="21"/>
  <c r="H64" i="21"/>
  <c r="G65" i="21"/>
  <c r="H65" i="21"/>
  <c r="G66" i="21"/>
  <c r="H66" i="21"/>
  <c r="G67" i="21"/>
  <c r="H67" i="21"/>
  <c r="I67" i="21"/>
  <c r="O66" i="21"/>
  <c r="J65" i="21"/>
  <c r="N66" i="21"/>
  <c r="C64" i="21"/>
  <c r="O62" i="21"/>
  <c r="G59" i="21"/>
  <c r="H59" i="21"/>
  <c r="G60" i="21"/>
  <c r="H60" i="21"/>
  <c r="G61" i="21"/>
  <c r="H61" i="21"/>
  <c r="G62" i="21"/>
  <c r="H62" i="21"/>
  <c r="I62" i="21"/>
  <c r="O61" i="21"/>
  <c r="J60" i="21"/>
  <c r="N61" i="21"/>
  <c r="C59" i="21"/>
  <c r="D8" i="21"/>
  <c r="E19" i="21"/>
  <c r="G19" i="21"/>
  <c r="H19" i="21"/>
  <c r="C30" i="21"/>
  <c r="E8" i="21"/>
  <c r="H8" i="21"/>
  <c r="I8" i="21"/>
  <c r="D30" i="21"/>
  <c r="E30" i="21"/>
  <c r="G30" i="21"/>
  <c r="H30" i="21"/>
  <c r="D9" i="21"/>
  <c r="E20" i="21"/>
  <c r="G20" i="21"/>
  <c r="H20" i="21"/>
  <c r="C31" i="21"/>
  <c r="E9" i="21"/>
  <c r="H9" i="21"/>
  <c r="I9" i="21"/>
  <c r="D31" i="21"/>
  <c r="E31" i="21"/>
  <c r="G31" i="21"/>
  <c r="H31" i="21"/>
  <c r="D10" i="21"/>
  <c r="E21" i="21"/>
  <c r="G21" i="21"/>
  <c r="H21" i="21"/>
  <c r="C32" i="21"/>
  <c r="E10" i="21"/>
  <c r="H10" i="21"/>
  <c r="I10" i="21"/>
  <c r="D32" i="21"/>
  <c r="E32" i="21"/>
  <c r="G32" i="21"/>
  <c r="H32" i="21"/>
  <c r="D11" i="21"/>
  <c r="E22" i="21"/>
  <c r="G22" i="21"/>
  <c r="H22" i="21"/>
  <c r="C33" i="21"/>
  <c r="E11" i="21"/>
  <c r="H11" i="21"/>
  <c r="I11" i="21"/>
  <c r="D33" i="21"/>
  <c r="E33" i="21"/>
  <c r="G33" i="21"/>
  <c r="H33" i="21"/>
  <c r="H35" i="21"/>
  <c r="H42" i="21"/>
  <c r="H44" i="21"/>
  <c r="H45" i="21"/>
  <c r="H46" i="21"/>
  <c r="B2" i="21"/>
  <c r="G40" i="21"/>
  <c r="G46" i="21"/>
  <c r="D45" i="21"/>
  <c r="D43" i="21"/>
  <c r="G42" i="21"/>
  <c r="D42" i="21"/>
  <c r="D41" i="21"/>
  <c r="D40" i="21"/>
  <c r="G35" i="21"/>
  <c r="F35" i="21"/>
  <c r="E35" i="21"/>
  <c r="D35" i="21"/>
  <c r="C35" i="21"/>
  <c r="B24" i="21"/>
  <c r="B35" i="21"/>
  <c r="B11" i="21"/>
  <c r="B33" i="21"/>
  <c r="B10" i="21"/>
  <c r="B21" i="21"/>
  <c r="B32" i="21"/>
  <c r="B9" i="21"/>
  <c r="B20" i="21"/>
  <c r="B31" i="21"/>
  <c r="B8" i="21"/>
  <c r="B19" i="21"/>
  <c r="B30" i="21"/>
  <c r="E24" i="21"/>
  <c r="G24" i="21"/>
  <c r="H24" i="21"/>
  <c r="D19" i="21"/>
  <c r="D20" i="21"/>
  <c r="D21" i="21"/>
  <c r="D22" i="21"/>
  <c r="D24" i="21"/>
  <c r="C19" i="21"/>
  <c r="C20" i="21"/>
  <c r="C21" i="21"/>
  <c r="C22" i="21"/>
  <c r="C24" i="21"/>
  <c r="B22" i="21"/>
  <c r="C13" i="21"/>
  <c r="G13" i="21"/>
  <c r="H13" i="21"/>
  <c r="I13" i="21"/>
  <c r="D13" i="21"/>
  <c r="E13" i="21"/>
  <c r="C22" i="5"/>
  <c r="C33" i="3"/>
  <c r="C34" i="3"/>
  <c r="C35" i="3"/>
  <c r="C36" i="3"/>
  <c r="C37" i="3"/>
  <c r="C38" i="3"/>
  <c r="C39" i="3"/>
  <c r="C27" i="3"/>
  <c r="C28" i="3"/>
  <c r="C29" i="3"/>
  <c r="C30" i="3"/>
  <c r="C20" i="3"/>
  <c r="C22" i="3"/>
  <c r="C23" i="3"/>
  <c r="C24" i="3"/>
  <c r="C42" i="3"/>
  <c r="C23" i="5"/>
  <c r="C24" i="5"/>
  <c r="C27" i="5"/>
  <c r="C6" i="3"/>
  <c r="C12" i="5"/>
  <c r="C8" i="3"/>
  <c r="C9" i="3"/>
  <c r="C10" i="3"/>
  <c r="C11" i="3"/>
  <c r="C12" i="3"/>
  <c r="C13" i="3"/>
  <c r="C14" i="3"/>
  <c r="C15" i="3"/>
  <c r="C13" i="5"/>
  <c r="C16" i="5"/>
  <c r="C7" i="5"/>
  <c r="C9" i="5"/>
  <c r="C18" i="5"/>
  <c r="C26" i="5"/>
  <c r="C29" i="5"/>
  <c r="C36" i="5"/>
  <c r="C44" i="4"/>
  <c r="C45" i="4"/>
  <c r="C46" i="4"/>
  <c r="C50" i="1"/>
  <c r="C37" i="5"/>
  <c r="C35" i="5"/>
  <c r="C39" i="5"/>
  <c r="B36" i="5"/>
  <c r="B33" i="5"/>
  <c r="D21" i="5"/>
  <c r="D24" i="5"/>
  <c r="D27" i="5"/>
  <c r="D6" i="3"/>
  <c r="D12" i="5"/>
  <c r="D8" i="3"/>
  <c r="D9" i="3"/>
  <c r="D10" i="3"/>
  <c r="D11" i="3"/>
  <c r="D12" i="3"/>
  <c r="D13" i="3"/>
  <c r="D14" i="3"/>
  <c r="D15" i="3"/>
  <c r="D13" i="5"/>
  <c r="D16" i="5"/>
  <c r="D18" i="5"/>
  <c r="D26" i="5"/>
  <c r="D33" i="3"/>
  <c r="D34" i="3"/>
  <c r="D35" i="3"/>
  <c r="D39" i="3"/>
  <c r="D27" i="3"/>
  <c r="D28" i="3"/>
  <c r="D29" i="3"/>
  <c r="D30" i="3"/>
  <c r="D20" i="3"/>
  <c r="D21" i="3"/>
  <c r="D22" i="3"/>
  <c r="D23" i="3"/>
  <c r="D24" i="3"/>
  <c r="D42" i="3"/>
  <c r="D23" i="5"/>
  <c r="D44" i="1"/>
  <c r="D45" i="1"/>
  <c r="D39" i="1"/>
  <c r="D29" i="1"/>
  <c r="D30" i="1"/>
  <c r="D31" i="1"/>
  <c r="D32" i="1"/>
  <c r="D33" i="1"/>
  <c r="D25" i="1"/>
  <c r="D26" i="1"/>
  <c r="D21" i="1"/>
  <c r="D22" i="1"/>
  <c r="D14" i="1"/>
  <c r="D15" i="1"/>
  <c r="D16" i="1"/>
  <c r="D17" i="1"/>
  <c r="D18" i="1"/>
  <c r="D8" i="1"/>
  <c r="D9" i="1"/>
  <c r="D10" i="1"/>
  <c r="D11" i="1"/>
  <c r="D47" i="1"/>
  <c r="D22" i="5"/>
  <c r="B22" i="5"/>
  <c r="B21" i="5"/>
  <c r="B14" i="5"/>
  <c r="D7" i="5"/>
  <c r="E3" i="4"/>
  <c r="E3" i="5"/>
  <c r="B1" i="5"/>
  <c r="F42" i="3"/>
  <c r="F45" i="3"/>
  <c r="E15" i="3"/>
  <c r="E45" i="3"/>
  <c r="G45" i="3"/>
  <c r="H45" i="3"/>
  <c r="D45" i="3"/>
  <c r="C45" i="3"/>
  <c r="G42" i="3"/>
  <c r="H42" i="3"/>
  <c r="G39" i="3"/>
  <c r="H39" i="3"/>
  <c r="G38" i="3"/>
  <c r="H38" i="3"/>
  <c r="G37" i="3"/>
  <c r="H37" i="3"/>
  <c r="G35" i="3"/>
  <c r="H35" i="3"/>
  <c r="G34" i="3"/>
  <c r="H34" i="3"/>
  <c r="G33" i="3"/>
  <c r="H33" i="3"/>
  <c r="G30" i="3"/>
  <c r="H30" i="3"/>
  <c r="G29" i="3"/>
  <c r="H29" i="3"/>
  <c r="G24" i="3"/>
  <c r="H24" i="3"/>
  <c r="G20" i="3"/>
  <c r="H20" i="3"/>
  <c r="G6" i="3"/>
  <c r="G8" i="3"/>
  <c r="G11" i="3"/>
  <c r="G12" i="3"/>
  <c r="G14" i="3"/>
  <c r="G15" i="3"/>
  <c r="H15" i="3"/>
  <c r="H14" i="3"/>
  <c r="I24" i="1"/>
  <c r="L11" i="1"/>
  <c r="I12" i="3"/>
  <c r="H12" i="3"/>
  <c r="I19" i="1"/>
  <c r="I11" i="3"/>
  <c r="H11" i="3"/>
  <c r="I13" i="1"/>
  <c r="I10" i="3"/>
  <c r="I8" i="1"/>
  <c r="I9" i="3"/>
  <c r="H8" i="3"/>
  <c r="H6" i="3"/>
  <c r="E3" i="1"/>
  <c r="E3" i="3"/>
  <c r="D3" i="4"/>
  <c r="D3" i="1"/>
  <c r="D3" i="2"/>
  <c r="D3" i="3"/>
  <c r="C3" i="4"/>
  <c r="C3" i="1"/>
  <c r="C3" i="2"/>
  <c r="C3" i="3"/>
  <c r="F3" i="1"/>
  <c r="E2" i="1"/>
  <c r="E2" i="3"/>
  <c r="D2" i="4"/>
  <c r="D2" i="1"/>
  <c r="D2" i="2"/>
  <c r="D2" i="3"/>
  <c r="C2" i="4"/>
  <c r="C2" i="1"/>
  <c r="C2" i="2"/>
  <c r="C2" i="3"/>
  <c r="D36" i="2"/>
  <c r="C36" i="2"/>
  <c r="F29" i="2"/>
  <c r="F21" i="2"/>
  <c r="F31" i="2"/>
  <c r="F7" i="2"/>
  <c r="F14" i="2"/>
  <c r="F33" i="2"/>
  <c r="E24" i="2"/>
  <c r="E25" i="2"/>
  <c r="E26" i="2"/>
  <c r="E27" i="2"/>
  <c r="E28" i="2"/>
  <c r="E29" i="2"/>
  <c r="E18" i="2"/>
  <c r="E19" i="2"/>
  <c r="E20" i="2"/>
  <c r="E21" i="2"/>
  <c r="E31" i="2"/>
  <c r="E6" i="2"/>
  <c r="E7" i="2"/>
  <c r="E8" i="2"/>
  <c r="E9" i="2"/>
  <c r="E10" i="2"/>
  <c r="E11" i="2"/>
  <c r="E12" i="2"/>
  <c r="E13" i="2"/>
  <c r="E14" i="2"/>
  <c r="E33" i="2"/>
  <c r="G33" i="2"/>
  <c r="H33" i="2"/>
  <c r="D24" i="2"/>
  <c r="D25" i="2"/>
  <c r="D26" i="2"/>
  <c r="D27" i="2"/>
  <c r="D28" i="2"/>
  <c r="D29" i="2"/>
  <c r="D18" i="2"/>
  <c r="D19" i="2"/>
  <c r="D20" i="2"/>
  <c r="D21" i="2"/>
  <c r="D31" i="2"/>
  <c r="D6" i="2"/>
  <c r="D7" i="2"/>
  <c r="D8" i="2"/>
  <c r="D9" i="2"/>
  <c r="D10" i="2"/>
  <c r="D11" i="2"/>
  <c r="D12" i="2"/>
  <c r="D13" i="2"/>
  <c r="D14" i="2"/>
  <c r="D33" i="2"/>
  <c r="C24" i="2"/>
  <c r="C25" i="2"/>
  <c r="C26" i="2"/>
  <c r="C27" i="2"/>
  <c r="C28" i="2"/>
  <c r="C29" i="2"/>
  <c r="C18" i="2"/>
  <c r="C19" i="2"/>
  <c r="C20" i="2"/>
  <c r="C21" i="2"/>
  <c r="C31" i="2"/>
  <c r="C6" i="2"/>
  <c r="C7" i="2"/>
  <c r="C8" i="2"/>
  <c r="C9" i="2"/>
  <c r="C10" i="2"/>
  <c r="C11" i="2"/>
  <c r="C12" i="2"/>
  <c r="C13" i="2"/>
  <c r="C14" i="2"/>
  <c r="C33" i="2"/>
  <c r="G31" i="2"/>
  <c r="H31" i="2"/>
  <c r="G29" i="2"/>
  <c r="H29" i="2"/>
  <c r="G28" i="2"/>
  <c r="H28" i="2"/>
  <c r="B28" i="2"/>
  <c r="G27" i="2"/>
  <c r="H27" i="2"/>
  <c r="G26" i="2"/>
  <c r="H26" i="2"/>
  <c r="G25" i="2"/>
  <c r="H25" i="2"/>
  <c r="G24" i="2"/>
  <c r="H24" i="2"/>
  <c r="G21" i="2"/>
  <c r="H21" i="2"/>
  <c r="G20" i="2"/>
  <c r="H20" i="2"/>
  <c r="G19" i="2"/>
  <c r="H19" i="2"/>
  <c r="G18" i="2"/>
  <c r="H18" i="2"/>
  <c r="G14" i="2"/>
  <c r="H14" i="2"/>
  <c r="G13" i="2"/>
  <c r="H13" i="2"/>
  <c r="G12" i="2"/>
  <c r="H12" i="2"/>
  <c r="G11" i="2"/>
  <c r="H11" i="2"/>
  <c r="G10" i="2"/>
  <c r="H10" i="2"/>
  <c r="G9" i="2"/>
  <c r="H9" i="2"/>
  <c r="G8" i="2"/>
  <c r="H8" i="2"/>
  <c r="G7" i="2"/>
  <c r="H7" i="2"/>
  <c r="G6" i="2"/>
  <c r="H6" i="2"/>
  <c r="L3" i="2"/>
  <c r="F3" i="2"/>
  <c r="E3" i="2"/>
  <c r="E2" i="2"/>
  <c r="L1" i="2"/>
  <c r="D50" i="1"/>
  <c r="G47" i="1"/>
  <c r="H47" i="1"/>
  <c r="G45" i="1"/>
  <c r="H45" i="1"/>
  <c r="G44" i="1"/>
  <c r="H44" i="1"/>
  <c r="G41" i="1"/>
  <c r="H41" i="1"/>
  <c r="D40" i="1"/>
  <c r="D41" i="1"/>
  <c r="G40" i="1"/>
  <c r="H40" i="1"/>
  <c r="G39" i="1"/>
  <c r="H39" i="1"/>
  <c r="G38" i="1"/>
  <c r="H38" i="1"/>
  <c r="G37" i="1"/>
  <c r="H37" i="1"/>
  <c r="G36" i="1"/>
  <c r="H36" i="1"/>
  <c r="G33" i="1"/>
  <c r="H33" i="1"/>
  <c r="G32" i="1"/>
  <c r="H32" i="1"/>
  <c r="G31" i="1"/>
  <c r="H31" i="1"/>
  <c r="G30" i="1"/>
  <c r="H30" i="1"/>
  <c r="G29" i="1"/>
  <c r="H29" i="1"/>
  <c r="G26" i="1"/>
  <c r="H26" i="1"/>
  <c r="I16" i="1"/>
  <c r="I22" i="1"/>
  <c r="I27" i="1"/>
  <c r="G22" i="1"/>
  <c r="H22" i="1"/>
  <c r="G18" i="1"/>
  <c r="H18" i="1"/>
  <c r="G17" i="1"/>
  <c r="H17" i="1"/>
  <c r="G16" i="1"/>
  <c r="H16" i="1"/>
  <c r="G15" i="1"/>
  <c r="H15" i="1"/>
  <c r="G11" i="1"/>
  <c r="H11" i="1"/>
  <c r="G10" i="1"/>
  <c r="H10" i="1"/>
  <c r="G9" i="1"/>
  <c r="H9" i="1"/>
  <c r="L10" i="1"/>
  <c r="G8" i="1"/>
  <c r="H8" i="1"/>
  <c r="L9" i="1"/>
  <c r="L8" i="1"/>
  <c r="A1" i="1"/>
  <c r="D46" i="4"/>
  <c r="D45" i="4"/>
  <c r="D44" i="4"/>
  <c r="D43" i="4"/>
  <c r="C43" i="4"/>
  <c r="G41" i="4"/>
  <c r="H41" i="4"/>
  <c r="D38" i="4"/>
  <c r="D39" i="4"/>
  <c r="D29" i="4"/>
  <c r="D30" i="4"/>
  <c r="D31" i="4"/>
  <c r="D32" i="4"/>
  <c r="D33" i="4"/>
  <c r="D34" i="4"/>
  <c r="D35" i="4"/>
  <c r="D25" i="4"/>
  <c r="D26" i="4"/>
  <c r="D15" i="4"/>
  <c r="D16" i="4"/>
  <c r="D17" i="4"/>
  <c r="D18" i="4"/>
  <c r="D19" i="4"/>
  <c r="D20" i="4"/>
  <c r="D21" i="4"/>
  <c r="D22" i="4"/>
  <c r="D11" i="4"/>
  <c r="D41" i="4"/>
  <c r="G39" i="4"/>
  <c r="H39" i="4"/>
  <c r="G38" i="4"/>
  <c r="H38" i="4"/>
  <c r="G35" i="4"/>
  <c r="H35" i="4"/>
  <c r="G34" i="4"/>
  <c r="H34" i="4"/>
  <c r="G33" i="4"/>
  <c r="H33" i="4"/>
  <c r="G32" i="4"/>
  <c r="H32" i="4"/>
  <c r="G31" i="4"/>
  <c r="H31" i="4"/>
  <c r="G30" i="4"/>
  <c r="H30" i="4"/>
  <c r="G29" i="4"/>
  <c r="H29" i="4"/>
  <c r="G25" i="4"/>
  <c r="H25" i="4"/>
  <c r="G22" i="4"/>
  <c r="H22" i="4"/>
  <c r="G21" i="4"/>
  <c r="H21" i="4"/>
  <c r="G19" i="4"/>
  <c r="H19" i="4"/>
  <c r="G18" i="4"/>
  <c r="H18" i="4"/>
  <c r="G17" i="4"/>
  <c r="H17" i="4"/>
  <c r="G16" i="4"/>
  <c r="H16" i="4"/>
  <c r="G15" i="4"/>
  <c r="H15" i="4"/>
  <c r="G12" i="4"/>
  <c r="H12" i="4"/>
  <c r="D9" i="4"/>
  <c r="D10" i="4"/>
  <c r="D12" i="4"/>
  <c r="G11" i="4"/>
  <c r="H11" i="4"/>
  <c r="G10" i="4"/>
  <c r="H10" i="4"/>
  <c r="L10" i="4"/>
  <c r="L9" i="4"/>
  <c r="L8" i="4"/>
  <c r="C23" i="22"/>
  <c r="C26" i="22"/>
  <c r="C29" i="22"/>
  <c r="C15" i="22"/>
  <c r="C16" i="22"/>
  <c r="C18" i="22"/>
  <c r="C12" i="22"/>
  <c r="C20" i="22"/>
  <c r="C28" i="22"/>
  <c r="C31" i="22"/>
  <c r="C38" i="22"/>
  <c r="C39" i="22"/>
  <c r="C41" i="22"/>
  <c r="B38" i="22"/>
  <c r="G23" i="22"/>
  <c r="G26" i="22"/>
  <c r="G29" i="22"/>
  <c r="D16" i="22"/>
  <c r="E16" i="22"/>
  <c r="F16" i="22"/>
  <c r="G16" i="22"/>
  <c r="D15" i="22"/>
  <c r="E15" i="22"/>
  <c r="F15" i="22"/>
  <c r="G15" i="22"/>
  <c r="G18" i="22"/>
  <c r="G12" i="22"/>
  <c r="G20" i="22"/>
  <c r="G28" i="22"/>
  <c r="G31" i="22"/>
  <c r="F23" i="22"/>
  <c r="F24" i="22"/>
  <c r="F25" i="22"/>
  <c r="F26" i="22"/>
  <c r="F29" i="22"/>
  <c r="F18" i="22"/>
  <c r="F12" i="22"/>
  <c r="F20" i="22"/>
  <c r="F28" i="22"/>
  <c r="F31" i="22"/>
  <c r="E23" i="22"/>
  <c r="E24" i="22"/>
  <c r="E25" i="22"/>
  <c r="E26" i="22"/>
  <c r="E29" i="22"/>
  <c r="E18" i="22"/>
  <c r="E12" i="22"/>
  <c r="E20" i="22"/>
  <c r="E28" i="22"/>
  <c r="E31" i="22"/>
  <c r="D23" i="22"/>
  <c r="D24" i="22"/>
  <c r="D26" i="22"/>
  <c r="D29" i="22"/>
  <c r="D18" i="22"/>
  <c r="D12" i="22"/>
  <c r="D20" i="22"/>
  <c r="D28" i="22"/>
  <c r="D31" i="22"/>
  <c r="G25" i="22"/>
  <c r="D25" i="22"/>
  <c r="C25" i="22"/>
  <c r="G24" i="22"/>
  <c r="C24" i="22"/>
  <c r="B24" i="22"/>
  <c r="B23" i="22"/>
  <c r="B15" i="22"/>
  <c r="D3" i="22"/>
  <c r="C2" i="22"/>
  <c r="B1" i="22"/>
  <c r="J62" i="24"/>
  <c r="J48" i="24"/>
  <c r="N56" i="24"/>
  <c r="N49" i="24"/>
  <c r="E18" i="24"/>
  <c r="G18" i="24"/>
  <c r="H18" i="24"/>
  <c r="C28" i="24"/>
  <c r="E8" i="24"/>
  <c r="F8" i="24"/>
  <c r="H8" i="24"/>
  <c r="I8" i="24"/>
  <c r="D28" i="24"/>
  <c r="E28" i="24"/>
  <c r="G28" i="24"/>
  <c r="H28" i="24"/>
  <c r="E19" i="24"/>
  <c r="G19" i="24"/>
  <c r="H19" i="24"/>
  <c r="C29" i="24"/>
  <c r="E9" i="24"/>
  <c r="F9" i="24"/>
  <c r="H9" i="24"/>
  <c r="I9" i="24"/>
  <c r="D29" i="24"/>
  <c r="E29" i="24"/>
  <c r="G29" i="24"/>
  <c r="H29" i="24"/>
  <c r="E20" i="24"/>
  <c r="G20" i="24"/>
  <c r="H20" i="24"/>
  <c r="C30" i="24"/>
  <c r="E10" i="24"/>
  <c r="F10" i="24"/>
  <c r="H10" i="24"/>
  <c r="I10" i="24"/>
  <c r="D30" i="24"/>
  <c r="E30" i="24"/>
  <c r="G30" i="24"/>
  <c r="H30" i="24"/>
  <c r="H32" i="24"/>
  <c r="G32" i="24"/>
  <c r="F32" i="24"/>
  <c r="E32" i="24"/>
  <c r="D32" i="24"/>
  <c r="C32" i="24"/>
  <c r="B22" i="24"/>
  <c r="B32" i="24"/>
  <c r="B20" i="24"/>
  <c r="B30" i="24"/>
  <c r="B19" i="24"/>
  <c r="B29" i="24"/>
  <c r="B18" i="24"/>
  <c r="B28" i="24"/>
  <c r="E22" i="24"/>
  <c r="G22" i="24"/>
  <c r="H22" i="24"/>
  <c r="D18" i="24"/>
  <c r="D19" i="24"/>
  <c r="D20" i="24"/>
  <c r="D22" i="24"/>
  <c r="C18" i="24"/>
  <c r="C19" i="24"/>
  <c r="C20" i="24"/>
  <c r="C22" i="24"/>
  <c r="C12" i="24"/>
  <c r="G12" i="24"/>
  <c r="H12" i="24"/>
  <c r="I12" i="24"/>
  <c r="D12" i="24"/>
  <c r="E12" i="24"/>
  <c r="C51" i="17"/>
  <c r="C53" i="17"/>
  <c r="C55" i="17"/>
  <c r="C57" i="17"/>
  <c r="C38" i="17"/>
  <c r="C42" i="17"/>
  <c r="C43" i="17"/>
  <c r="E15" i="17"/>
  <c r="E14" i="17"/>
  <c r="E18" i="17"/>
  <c r="E11" i="17"/>
  <c r="E20" i="17"/>
  <c r="E29" i="17"/>
  <c r="E23" i="17"/>
  <c r="E27" i="17"/>
  <c r="E30" i="17"/>
  <c r="E32" i="17"/>
  <c r="E39" i="17"/>
  <c r="E38" i="17"/>
  <c r="E42" i="17"/>
  <c r="C23" i="17"/>
  <c r="C27" i="17"/>
  <c r="C30" i="17"/>
  <c r="C14" i="17"/>
  <c r="C15" i="17"/>
  <c r="C18" i="17"/>
  <c r="C6" i="17"/>
  <c r="C7" i="17"/>
  <c r="C8" i="17"/>
  <c r="C9" i="17"/>
  <c r="C11" i="17"/>
  <c r="C20" i="17"/>
  <c r="C29" i="17"/>
  <c r="C32" i="17"/>
  <c r="C39" i="17"/>
  <c r="B39" i="17"/>
  <c r="F30" i="17"/>
  <c r="G30" i="17"/>
  <c r="F29" i="17"/>
  <c r="G29" i="17"/>
  <c r="F23" i="17"/>
  <c r="F27" i="17"/>
  <c r="G27" i="17"/>
  <c r="E26" i="17"/>
  <c r="C26" i="17"/>
  <c r="F26" i="17"/>
  <c r="G26" i="17"/>
  <c r="L26" i="17"/>
  <c r="K26" i="17"/>
  <c r="E25" i="17"/>
  <c r="C25" i="17"/>
  <c r="F25" i="17"/>
  <c r="G25" i="17"/>
  <c r="L25" i="17"/>
  <c r="K25" i="17"/>
  <c r="B25" i="17"/>
  <c r="E24" i="17"/>
  <c r="C24" i="17"/>
  <c r="F24" i="17"/>
  <c r="G24" i="17"/>
  <c r="L24" i="17"/>
  <c r="K24" i="17"/>
  <c r="B24" i="17"/>
  <c r="G23" i="17"/>
  <c r="L23" i="17"/>
  <c r="K23" i="17"/>
  <c r="B23" i="17"/>
  <c r="F15" i="17"/>
  <c r="F14" i="17"/>
  <c r="F18" i="17"/>
  <c r="F11" i="17"/>
  <c r="F20" i="17"/>
  <c r="G20" i="17"/>
  <c r="G18" i="17"/>
  <c r="F16" i="17"/>
  <c r="G16" i="17"/>
  <c r="G15" i="17"/>
  <c r="G14" i="17"/>
  <c r="B14" i="17"/>
  <c r="G11" i="17"/>
  <c r="G9" i="17"/>
  <c r="G8" i="17"/>
  <c r="G7" i="17"/>
  <c r="G6" i="17"/>
  <c r="E3" i="17"/>
  <c r="C3" i="17"/>
  <c r="E2" i="17"/>
  <c r="C2" i="17"/>
  <c r="B1" i="17"/>
  <c r="D46" i="6"/>
  <c r="D44" i="6"/>
  <c r="D43" i="6"/>
  <c r="D42" i="6"/>
  <c r="D41" i="6"/>
  <c r="F39" i="6"/>
  <c r="F38" i="6"/>
  <c r="E30" i="6"/>
  <c r="F30" i="6"/>
  <c r="H30" i="6"/>
  <c r="E31" i="6"/>
  <c r="F31" i="6"/>
  <c r="H31" i="6"/>
  <c r="E32" i="6"/>
  <c r="F32" i="6"/>
  <c r="H32" i="6"/>
  <c r="C33" i="6"/>
  <c r="E33" i="6"/>
  <c r="F33" i="6"/>
  <c r="H33" i="6"/>
  <c r="C35" i="6"/>
  <c r="G35" i="6"/>
  <c r="H35" i="6"/>
  <c r="I35" i="6"/>
  <c r="E17" i="6"/>
  <c r="E18" i="6"/>
  <c r="E19" i="6"/>
  <c r="E20" i="6"/>
  <c r="E22" i="6"/>
  <c r="D35" i="6"/>
  <c r="E35" i="6"/>
  <c r="B22" i="6"/>
  <c r="B35" i="6"/>
  <c r="I33" i="6"/>
  <c r="B20" i="6"/>
  <c r="B33" i="6"/>
  <c r="I32" i="6"/>
  <c r="B19" i="6"/>
  <c r="B32" i="6"/>
  <c r="I31" i="6"/>
  <c r="B18" i="6"/>
  <c r="B31" i="6"/>
  <c r="I30" i="6"/>
  <c r="B17" i="6"/>
  <c r="B30" i="6"/>
  <c r="B24" i="6"/>
  <c r="G22" i="6"/>
  <c r="H22" i="6"/>
  <c r="D17" i="6"/>
  <c r="D18" i="6"/>
  <c r="D19" i="6"/>
  <c r="D20" i="6"/>
  <c r="D22" i="6"/>
  <c r="C17" i="6"/>
  <c r="C18" i="6"/>
  <c r="C19" i="6"/>
  <c r="C20" i="6"/>
  <c r="C22" i="6"/>
  <c r="G20" i="6"/>
  <c r="H20" i="6"/>
  <c r="G19" i="6"/>
  <c r="H19" i="6"/>
  <c r="G18" i="6"/>
  <c r="H18" i="6"/>
  <c r="G17" i="6"/>
  <c r="H17" i="6"/>
  <c r="K10" i="6"/>
  <c r="M10" i="6"/>
  <c r="C5" i="6"/>
  <c r="C6" i="6"/>
  <c r="C7" i="6"/>
  <c r="C8" i="6"/>
  <c r="C10" i="6"/>
  <c r="D5" i="6"/>
  <c r="D6" i="6"/>
  <c r="D7" i="6"/>
  <c r="D8" i="6"/>
  <c r="D10" i="6"/>
  <c r="E10" i="6"/>
  <c r="E8" i="6"/>
  <c r="E7" i="6"/>
  <c r="E6" i="6"/>
  <c r="E5" i="6"/>
  <c r="F1" i="6"/>
</calcChain>
</file>

<file path=xl/sharedStrings.xml><?xml version="1.0" encoding="utf-8"?>
<sst xmlns="http://schemas.openxmlformats.org/spreadsheetml/2006/main" count="797" uniqueCount="349">
  <si>
    <t>Associated Students, Inc.</t>
  </si>
  <si>
    <t>CALIFORNIA STATE UNIVERSITY, LOS ANGELES</t>
  </si>
  <si>
    <t>2018-19 Referendum Budget</t>
  </si>
  <si>
    <t>DRAFT</t>
  </si>
  <si>
    <t xml:space="preserve">  </t>
  </si>
  <si>
    <t>Student Fees (Total)</t>
  </si>
  <si>
    <t>Fee Waivers</t>
  </si>
  <si>
    <t>Full Fees</t>
  </si>
  <si>
    <t>Total Expected</t>
  </si>
  <si>
    <t>Revenue per</t>
  </si>
  <si>
    <t>Description of Item</t>
  </si>
  <si>
    <t>Expected Receipts</t>
  </si>
  <si>
    <t>Revenue</t>
  </si>
  <si>
    <t>p</t>
  </si>
  <si>
    <t>Student</t>
  </si>
  <si>
    <t>Per</t>
  </si>
  <si>
    <t>O</t>
  </si>
  <si>
    <t>A</t>
  </si>
  <si>
    <t>B</t>
  </si>
  <si>
    <t>A + B</t>
  </si>
  <si>
    <t>Summer 2010, (2010 Actual)</t>
  </si>
  <si>
    <t>Per Fee Reqs</t>
  </si>
  <si>
    <t>Per FS</t>
  </si>
  <si>
    <t>Fall 2010, (2010 Actual)</t>
  </si>
  <si>
    <r>
      <t xml:space="preserve">Winter 2011, </t>
    </r>
    <r>
      <rPr>
        <sz val="9"/>
        <color indexed="8"/>
        <rFont val="Geneva"/>
      </rPr>
      <t>(2011 Actual)</t>
    </r>
  </si>
  <si>
    <r>
      <t xml:space="preserve">Spring 2011, </t>
    </r>
    <r>
      <rPr>
        <sz val="9"/>
        <color indexed="10"/>
        <rFont val="Geneva"/>
        <family val="2"/>
      </rPr>
      <t>(Based on IR projection of 18,798 less 2% reduction)</t>
    </r>
  </si>
  <si>
    <t>FY 2010/2011</t>
  </si>
  <si>
    <t>These numbers are based on 09-10 actual headcount for Summer Fall, Winter, &amp; Spring is Projected</t>
  </si>
  <si>
    <t>Student Fees (Fee Waivers)</t>
  </si>
  <si>
    <t>Estimated</t>
  </si>
  <si>
    <t>Total Fee</t>
  </si>
  <si>
    <t>Expected</t>
  </si>
  <si>
    <t>Total Headcount</t>
  </si>
  <si>
    <t>Waiver Headcount</t>
  </si>
  <si>
    <t>Receipts</t>
  </si>
  <si>
    <t>(A*B)</t>
  </si>
  <si>
    <t>C</t>
  </si>
  <si>
    <t>D = C (A*B)</t>
  </si>
  <si>
    <t xml:space="preserve"> </t>
  </si>
  <si>
    <t>Student Fees (Full Fees)</t>
  </si>
  <si>
    <t>Estimated Full Fee</t>
  </si>
  <si>
    <t xml:space="preserve">Projected Headcount </t>
  </si>
  <si>
    <t>Generating Headcount</t>
  </si>
  <si>
    <t>Based on Intuitional</t>
  </si>
  <si>
    <t>research figures with</t>
  </si>
  <si>
    <t>D = C (A-B)</t>
  </si>
  <si>
    <t>(A-B)</t>
  </si>
  <si>
    <t>2.5% reduction</t>
  </si>
  <si>
    <t>% Allocation</t>
  </si>
  <si>
    <t xml:space="preserve">Amount of </t>
  </si>
  <si>
    <t>Total 2% Reduction:</t>
  </si>
  <si>
    <t>(Up to 25% of Current Year's Operating Expenditure Budget)</t>
  </si>
  <si>
    <t>to Reserve Accounts</t>
  </si>
  <si>
    <t>Allocation</t>
  </si>
  <si>
    <t>A. Working Capital</t>
  </si>
  <si>
    <t>B. Current Operations</t>
  </si>
  <si>
    <t>C. Capital Replacement</t>
  </si>
  <si>
    <t>D. Contingency Failure</t>
  </si>
  <si>
    <t>Total Reserve Allocation</t>
  </si>
  <si>
    <t>Reserve Statement</t>
  </si>
  <si>
    <t>• A.S.I. is committed to maintaining a maximum level in reserves of up to 25% of the current year expenditures.  The projected level of reserves is $272,457.  Working Capital Reserve will serve as 55% of the total reserve to meet expenditures of the organization for at least 60 days.  Current Operations Reserves will account for 10%, which will address future enrollment decreases.  Capital Replacement Reserves serves as 20%, will assist in the event of a catastrophic circumstance, and will provide the cash on hand to create a satellite location.  Future Operations Reserve serves as 15% for unanticipated board actions to facilitate A.S.I. Board goals.  Please see A.S.I. Administrative Manual Reserve Policy 207.</t>
  </si>
  <si>
    <t>Page 1</t>
  </si>
  <si>
    <t>Revenue and Investments</t>
  </si>
  <si>
    <t>Net Budget</t>
  </si>
  <si>
    <t>Percent</t>
  </si>
  <si>
    <t>Modification</t>
  </si>
  <si>
    <t>Change</t>
  </si>
  <si>
    <t>Projected Fee Revenue *</t>
  </si>
  <si>
    <t>Summer</t>
  </si>
  <si>
    <t>**</t>
  </si>
  <si>
    <t>Fall</t>
  </si>
  <si>
    <t>Winter</t>
  </si>
  <si>
    <t>Spring</t>
  </si>
  <si>
    <t>* The 2010-11 revenue totals reflect the financial statement total actual.</t>
  </si>
  <si>
    <t>Student Fee Revenue</t>
  </si>
  <si>
    <t>Other Projected Revenue</t>
  </si>
  <si>
    <t>Student Service Center Revenue</t>
  </si>
  <si>
    <t>Student Government Revenue</t>
  </si>
  <si>
    <t>Total Other Revenue</t>
  </si>
  <si>
    <t>Total Revenue</t>
  </si>
  <si>
    <t>Initial Proposed Budget</t>
  </si>
  <si>
    <t>Updated Budget Proposal</t>
  </si>
  <si>
    <t>Percent Change</t>
  </si>
  <si>
    <t xml:space="preserve">Projected Expenses </t>
  </si>
  <si>
    <t>Programming &amp; University Support</t>
  </si>
  <si>
    <t>Total Unit Expense</t>
  </si>
  <si>
    <t>Net Operating Income/(Deficit)</t>
  </si>
  <si>
    <t>Fund Balance</t>
  </si>
  <si>
    <t xml:space="preserve">Beginning Fund Balance </t>
  </si>
  <si>
    <t>Trailer System</t>
  </si>
  <si>
    <t>•  A.S.I. has approved operating off of a Trailer System model.  This allows A.S.I. to allocate funds for activities and programs with a greater degree of certainty.  3% of the total trailer system is being set aside for contingency operating costs which totals: $34,611.</t>
  </si>
  <si>
    <t>Non-Operating Expenses (Depreciation+PTO+Bad Debt+Write Off)</t>
  </si>
  <si>
    <t xml:space="preserve">Projected Ending Fund Balance </t>
  </si>
  <si>
    <t>3% Reserve</t>
  </si>
  <si>
    <t xml:space="preserve">2011-12 Trailer Reserve Analysis 
</t>
  </si>
  <si>
    <t>Beginning Fund Balance (FB)</t>
  </si>
  <si>
    <t>2010-11 Operating Revenue</t>
  </si>
  <si>
    <t>b</t>
  </si>
  <si>
    <t>2012-13 Projected Revenue:</t>
  </si>
  <si>
    <t>2010 -11 SMIF &amp; Other Revenue</t>
  </si>
  <si>
    <t>a</t>
  </si>
  <si>
    <t>Based on Office of Institutional Researches' estimated headcount for 2011-12 the projected revenue for 2012-13 is 1,081,447.00.</t>
  </si>
  <si>
    <t>2010-11 Operating Expenditures</t>
  </si>
  <si>
    <t>Net Income</t>
  </si>
  <si>
    <t>Estimated Fund Balance @ 6/30/2011</t>
  </si>
  <si>
    <t>Recommended 3% Reserves:</t>
  </si>
  <si>
    <t>source:</t>
  </si>
  <si>
    <t>New Projected Ending Fund Balance</t>
  </si>
  <si>
    <t>a) based on ASI Financial Statement as of 4/30/2010 (Actuals)</t>
  </si>
  <si>
    <t>(NOTE: The University Budget office conducted a Trailer Reserve Analysis which required an adjustment  to our beginning fund balance for 2011-12 from $1,119,753.00 to 1,116,881.28 which is a $2,871.72 reduction.)                                                                      ** Amended to reflect Fee Reconciliations</t>
  </si>
  <si>
    <t>b) based on ASI approved 9&amp;3 Budget</t>
  </si>
  <si>
    <t>2017-18 A.S.I. Revenue Projections</t>
  </si>
  <si>
    <t>Summer 2017 Actual</t>
  </si>
  <si>
    <t>Fall Semester 2017 Projected</t>
  </si>
  <si>
    <t>Spring 2018 Projected</t>
  </si>
  <si>
    <t>Projected FY</t>
  </si>
  <si>
    <t xml:space="preserve"> 2016-17 6&amp;6 Budget Review - DRAFT</t>
  </si>
  <si>
    <t>PS Ledger</t>
  </si>
  <si>
    <t>Total</t>
  </si>
  <si>
    <t>Difference</t>
  </si>
  <si>
    <t>D</t>
  </si>
  <si>
    <t>D-C=E</t>
  </si>
  <si>
    <t>A + B + C</t>
  </si>
  <si>
    <t xml:space="preserve">Recommended Fee Index Increase of </t>
  </si>
  <si>
    <t>2018-19</t>
  </si>
  <si>
    <t>Flat enrollment</t>
  </si>
  <si>
    <t>Total Rev 2018-19</t>
  </si>
  <si>
    <t>Annual Total</t>
  </si>
  <si>
    <t>DIFFERENCE</t>
  </si>
  <si>
    <t>2019-20</t>
  </si>
  <si>
    <t>Enrollment Increase of 1%</t>
  </si>
  <si>
    <t>Total Rev 2019-20</t>
  </si>
  <si>
    <t>2020-21</t>
  </si>
  <si>
    <t>Total Rev 2020-21</t>
  </si>
  <si>
    <t>2021-22</t>
  </si>
  <si>
    <t>Four Year Projection</t>
  </si>
  <si>
    <t>2013/2014</t>
  </si>
  <si>
    <t>2014/2015</t>
  </si>
  <si>
    <t>2015/2016</t>
  </si>
  <si>
    <t>2016/2017</t>
  </si>
  <si>
    <t>Actual</t>
  </si>
  <si>
    <t>Proposed Operating Budget</t>
  </si>
  <si>
    <t>($17.25x3+$19.25x1)</t>
  </si>
  <si>
    <t>(per Q/ $71 py)</t>
  </si>
  <si>
    <t>(per Q/ $84 py)</t>
  </si>
  <si>
    <t>(per Q/ $92 py)</t>
  </si>
  <si>
    <t>(per Q/ $100 py)</t>
  </si>
  <si>
    <t>* Amended to reflect Fee Reconciliations</t>
  </si>
  <si>
    <t>Student &amp; University Support Revenue</t>
  </si>
  <si>
    <t>Student &amp; University Support (formerly Programming &amp; University Support)</t>
  </si>
  <si>
    <t>Non-Operating Expenses                                                                           (Retirement+Depreciation+Bad Debt+Write Off+POT)</t>
  </si>
  <si>
    <t>College Year Fee Projections, 2017-18</t>
  </si>
  <si>
    <t>Scenario A: 3% Above CO resident target of 18,005</t>
  </si>
  <si>
    <t>Summer '17</t>
  </si>
  <si>
    <t>Fall '17</t>
  </si>
  <si>
    <t>Spring '18</t>
  </si>
  <si>
    <t>AY (16-17)</t>
  </si>
  <si>
    <t>CY (16-17)</t>
  </si>
  <si>
    <t>Source</t>
  </si>
  <si>
    <t>Projected</t>
  </si>
  <si>
    <t>(F+S)/2</t>
  </si>
  <si>
    <t>(X+F+S)/2</t>
  </si>
  <si>
    <t>FTES</t>
  </si>
  <si>
    <t>NR FTES</t>
  </si>
  <si>
    <t>RES FTES</t>
  </si>
  <si>
    <t xml:space="preserve">TUA </t>
  </si>
  <si>
    <t>HC (head count)</t>
  </si>
  <si>
    <t xml:space="preserve">Unit Load </t>
  </si>
  <si>
    <t>Total HC</t>
  </si>
  <si>
    <t xml:space="preserve">Total Waivers </t>
  </si>
  <si>
    <t>Adj Total (Paid)</t>
  </si>
  <si>
    <t>Part-time (Total)</t>
  </si>
  <si>
    <t xml:space="preserve">   HC </t>
  </si>
  <si>
    <t xml:space="preserve">   Waived </t>
  </si>
  <si>
    <t xml:space="preserve">   Paid </t>
  </si>
  <si>
    <t>Full-time (Total)</t>
  </si>
  <si>
    <t>Part-time (Undergrad)</t>
  </si>
  <si>
    <t>Full-time (Undergrad)</t>
  </si>
  <si>
    <t>Part-time (Credential)</t>
  </si>
  <si>
    <t>Full-time (Credential)</t>
  </si>
  <si>
    <t>Part-time (Other Grad-incl.PB)</t>
  </si>
  <si>
    <t>Full-time (Other Grad-incl.PB)</t>
  </si>
  <si>
    <t>Part-time (%)</t>
  </si>
  <si>
    <t>Waived (%)</t>
  </si>
  <si>
    <t>Undergraduate (%)</t>
  </si>
  <si>
    <t>Credential (%)</t>
  </si>
  <si>
    <t>Other Graduate (%)</t>
  </si>
  <si>
    <t>Grad Bus</t>
  </si>
  <si>
    <t xml:space="preserve">   Units</t>
  </si>
  <si>
    <t>EDD</t>
  </si>
  <si>
    <t>Non-Resident</t>
  </si>
  <si>
    <t xml:space="preserve">   HC</t>
  </si>
  <si>
    <t xml:space="preserve">   TUA</t>
  </si>
  <si>
    <t xml:space="preserve">   Unit Load</t>
  </si>
  <si>
    <t xml:space="preserve">   TUA (%)</t>
  </si>
  <si>
    <t>Administration</t>
  </si>
  <si>
    <t>2017-18</t>
  </si>
  <si>
    <t>These will be hidden when presented.</t>
  </si>
  <si>
    <t>(2% Inc. for Salary &amp; Op Exp)</t>
  </si>
  <si>
    <t>Staff Sal by 2%</t>
  </si>
  <si>
    <t>Operating Exp Inc by 2%</t>
  </si>
  <si>
    <t>Expenses  *</t>
  </si>
  <si>
    <t>Budget Yr</t>
  </si>
  <si>
    <t>Personnel</t>
  </si>
  <si>
    <t>Staff Salaries</t>
  </si>
  <si>
    <t>Staff Benefits &amp; Annual contribution to VEBA Trust post-retirement account ($5,000)</t>
  </si>
  <si>
    <t>Student Salaries</t>
  </si>
  <si>
    <t>Total Administrative Expenses</t>
  </si>
  <si>
    <t>Total Personnel</t>
  </si>
  <si>
    <t>Supplies and Services</t>
  </si>
  <si>
    <t>Staff Development</t>
  </si>
  <si>
    <t>Dues/Subscriptions</t>
  </si>
  <si>
    <t>Bank Charges</t>
  </si>
  <si>
    <t>Operating Expenses (Supplies &amp; Services)</t>
  </si>
  <si>
    <t>Technology Related</t>
  </si>
  <si>
    <t>Payroll Charges</t>
  </si>
  <si>
    <t>Human Resources</t>
  </si>
  <si>
    <t>Total Supplies and Services</t>
  </si>
  <si>
    <t>Travel</t>
  </si>
  <si>
    <t>Seminars, Conf., Memberships and Travel</t>
  </si>
  <si>
    <t>Total Travel</t>
  </si>
  <si>
    <t>Contracts, MOU's and Leases</t>
  </si>
  <si>
    <t>University Accounting Services</t>
  </si>
  <si>
    <t>Auditing Services &amp; Contractual Services</t>
  </si>
  <si>
    <t>Fee Collection Services</t>
  </si>
  <si>
    <t>Insurance</t>
  </si>
  <si>
    <t>Legal Services</t>
  </si>
  <si>
    <t>Lease Chargeback's</t>
  </si>
  <si>
    <t>Total Contracts, MOUs and Leases</t>
  </si>
  <si>
    <t>Equipment</t>
  </si>
  <si>
    <t>Capital Equipment &amp; Loss of Disposal of Fix Assets</t>
  </si>
  <si>
    <t>Total Equipment</t>
  </si>
  <si>
    <t>Note:               *Excludes PTO expense, and Write off's of:</t>
  </si>
  <si>
    <t>Retirement</t>
  </si>
  <si>
    <t>Depreciation</t>
  </si>
  <si>
    <t>Student Government</t>
  </si>
  <si>
    <t>Expenses*</t>
  </si>
  <si>
    <t xml:space="preserve">Staff Salaries </t>
  </si>
  <si>
    <r>
      <t>Ben</t>
    </r>
    <r>
      <rPr>
        <sz val="11"/>
        <color indexed="8"/>
        <rFont val="Arial"/>
        <family val="2"/>
      </rPr>
      <t>efits - Annual contribution to VEBA Trust post-retirement account ($5,000)</t>
    </r>
  </si>
  <si>
    <t>Total Student Gov Expenses</t>
  </si>
  <si>
    <t>Marketing and Advertisement; Hospitality</t>
  </si>
  <si>
    <t>Operating Expenses</t>
  </si>
  <si>
    <t>New Dues/SUBS/PUBLICATIONS</t>
  </si>
  <si>
    <t>CSSA</t>
  </si>
  <si>
    <t>A.S.I. Student Government Travel</t>
  </si>
  <si>
    <t>Total CSSA</t>
  </si>
  <si>
    <t>FT Staff Travel</t>
  </si>
  <si>
    <t>Travel (In State &amp; Out of State)</t>
  </si>
  <si>
    <t>Total FT Staff Travel</t>
  </si>
  <si>
    <t>ASI President's Budget</t>
  </si>
  <si>
    <t>Hospitality</t>
  </si>
  <si>
    <t>Leadership Development</t>
  </si>
  <si>
    <t>Supplies</t>
  </si>
  <si>
    <t>Programming</t>
  </si>
  <si>
    <t>Total A.S.I. President's Budget</t>
  </si>
  <si>
    <t>Leadership Development &amp; Specialized Training</t>
  </si>
  <si>
    <t>Hospitality (combined with Marketing)</t>
  </si>
  <si>
    <r>
      <t xml:space="preserve">Leadership Development </t>
    </r>
    <r>
      <rPr>
        <sz val="9"/>
        <rFont val="Arial"/>
        <family val="2"/>
      </rPr>
      <t>(Moved to Student Support)</t>
    </r>
  </si>
  <si>
    <r>
      <t xml:space="preserve">SLA Dinner/Inauguration </t>
    </r>
    <r>
      <rPr>
        <sz val="9"/>
        <rFont val="Arial"/>
        <family val="2"/>
      </rPr>
      <t>(Moved to Student Support)</t>
    </r>
  </si>
  <si>
    <t>Total Programming</t>
  </si>
  <si>
    <t>Total Leadership Dev. &amp; Specialized Training</t>
  </si>
  <si>
    <t>Grant-In-Aid</t>
  </si>
  <si>
    <t>Total Grant-In-Aid</t>
  </si>
  <si>
    <t>Total Student Government Expenses *</t>
  </si>
  <si>
    <t>Note:</t>
  </si>
  <si>
    <t>*Excludes  PTO and Amortization expense of:</t>
  </si>
  <si>
    <t>Student Service Center</t>
  </si>
  <si>
    <t>Locker Revenue</t>
  </si>
  <si>
    <t xml:space="preserve">This decrease is due to the A.S.I. reorganization of the Student Service Center. </t>
  </si>
  <si>
    <t>Laptop Loan Program</t>
  </si>
  <si>
    <t>Miscellaneous Revenue</t>
  </si>
  <si>
    <t>Movie Ticket Sales</t>
  </si>
  <si>
    <t>Sea World Tickets</t>
  </si>
  <si>
    <t>Disneyland Sales</t>
  </si>
  <si>
    <t>Commissions</t>
  </si>
  <si>
    <t>Consignment Sales</t>
  </si>
  <si>
    <t>Total Student Service Center Revenue</t>
  </si>
  <si>
    <t>Expenses</t>
  </si>
  <si>
    <t>Staff Benefits - (IRS Requirement of $4,000 Post-retirement expense.)</t>
  </si>
  <si>
    <t>Marketing and Advertisement</t>
  </si>
  <si>
    <t>Staff Travel</t>
  </si>
  <si>
    <t>Total Student Service Center Expenses</t>
  </si>
  <si>
    <t xml:space="preserve">Net Cost of </t>
  </si>
  <si>
    <t>Page 5</t>
  </si>
  <si>
    <t>*Excludes  PTO expense &amp; Bad Debt Expense of:</t>
  </si>
  <si>
    <t>Page 4</t>
  </si>
  <si>
    <t>(2% Inc. for Op Exp)</t>
  </si>
  <si>
    <t>Revenue *</t>
  </si>
  <si>
    <t>Interest Income, Los Angeles Investment Fund (L.A.I.F.), &amp; Unrealized Gain/Loss</t>
  </si>
  <si>
    <t>Gift Contrib. Income</t>
  </si>
  <si>
    <t>Miscellaneous Revenue (Rev. Other, Music Concerts, Events, &amp; Laptop Rev)</t>
  </si>
  <si>
    <t>Commissions (Knott'S Ticket Sales)</t>
  </si>
  <si>
    <t>Total Programming and Student Support Revenue</t>
  </si>
  <si>
    <t>Student Support (formerly Programming)</t>
  </si>
  <si>
    <t>Student Organization Direct Funding and Co-sponsorships</t>
  </si>
  <si>
    <t xml:space="preserve">Unrestricted Funding for the Finance Committee </t>
  </si>
  <si>
    <t>Programming &amp; Advocacy (Expenses-Other)</t>
  </si>
  <si>
    <t>Scholarships &amp; Vouchers</t>
  </si>
  <si>
    <t>Student Book Voucher Program</t>
  </si>
  <si>
    <t>Committee Permits/Vouchers</t>
  </si>
  <si>
    <t>A.S.I. Scholarships</t>
  </si>
  <si>
    <t>Total Scholarships &amp; Vouchers</t>
  </si>
  <si>
    <t>University Support</t>
  </si>
  <si>
    <t>Children's Center</t>
  </si>
  <si>
    <t>EOP</t>
  </si>
  <si>
    <t>EPIC (Educational Participation in Communities)</t>
  </si>
  <si>
    <t>College of Arts &amp; Letters - Golden Eagle Radio</t>
  </si>
  <si>
    <t>Dreamers Resource Center</t>
  </si>
  <si>
    <t>Veterans Resource Center</t>
  </si>
  <si>
    <t>Total Student Support</t>
  </si>
  <si>
    <t>Total Programming and</t>
  </si>
  <si>
    <t>and Student Support Expenses</t>
  </si>
  <si>
    <t xml:space="preserve">Net Cost of Programming, </t>
  </si>
  <si>
    <t>Scholarships and Student Support</t>
  </si>
  <si>
    <t>2016-17</t>
  </si>
  <si>
    <t>YTD 2017-18</t>
  </si>
  <si>
    <t>($26.88+$26.87)</t>
  </si>
  <si>
    <t>(per S/ $53.75 py)</t>
  </si>
  <si>
    <t>($26.88+$26.87 - per S/ $53.75 py)</t>
  </si>
  <si>
    <t>($27.36+$27.35 - per S/ $54.72 py)</t>
  </si>
  <si>
    <t>Interest Income, Los Angeles Investment Fund (L.A.I.F.), &amp; Unrealized Gain/Loss  - 2% Inc. starting 2018</t>
  </si>
  <si>
    <t>Student &amp; University Support</t>
  </si>
  <si>
    <t>NOTE: There is a donated use of facilities $45,247 not reflected in the other revenue or expenses.</t>
  </si>
  <si>
    <t>Total 3% Reserve Allocation</t>
  </si>
  <si>
    <t>Required 3% Reserve 2013-14</t>
  </si>
  <si>
    <t>• A.S.I. is committed to maintaining a maximum level in reserves of up to 25% of the current year expenditures.  The projected level of reserves is 3% = $35,569.89.  Working Capital Reserve will serve as 55% of the total reserve to meet expenditures of the organization for at least 60 days.  Current Operations Reserves will account for 10%, which will address future enrollment decreases.  Capital Replacement Reserves serves as 20%, will assist in the event of a catastrophic circumstance, and will provide the cash on hand to create a satellite location.  Future Operations Reserve serves as 15% for unanticipated board actions to facilitate A.S.I. Board goals.  Please see A.S.I. Administrative Manual Reserve Policy 207.</t>
  </si>
  <si>
    <t>2013-14 Projected Headcount</t>
  </si>
  <si>
    <t>per QT</t>
  </si>
  <si>
    <t>per Y</t>
  </si>
  <si>
    <t>Comment/Variance Explanation</t>
  </si>
  <si>
    <t>This adjustment was due to fully funding salaried expenses needed for the year.</t>
  </si>
  <si>
    <t>This adjustment was due to moving to 12 monthly pay periods from 26 biweekly annual .</t>
  </si>
  <si>
    <t>c</t>
  </si>
  <si>
    <t>This adjustment is due to fully funding professional development opportunities for two full time staff members.</t>
  </si>
  <si>
    <t>This adjustment is due to a reduction in one time copier and website development expenses.</t>
  </si>
  <si>
    <t>This reduction is due to onetime conference expenses.</t>
  </si>
  <si>
    <t>This reduction is due to onetime travel expenses</t>
  </si>
  <si>
    <t>This increase is attributed to successful sale of various ticket revenue and marketing of the service.</t>
  </si>
  <si>
    <t>d</t>
  </si>
  <si>
    <t>Budget for 8 students and two staff to attend CSU Student Leadership Conference August 1-3, 2014, CSU Sonoma State</t>
  </si>
  <si>
    <t>e</t>
  </si>
  <si>
    <t>This reduction is due to onetime expenses added at 2013-14 6&amp;6 budget review.</t>
  </si>
  <si>
    <t>f</t>
  </si>
  <si>
    <t>g</t>
  </si>
  <si>
    <t>h</t>
  </si>
  <si>
    <t>Projected Operating Budget</t>
  </si>
  <si>
    <t>($27.86 + $27.85 - per S/$55.70 per py)</t>
  </si>
  <si>
    <t>($28.36 + $28.35 - per S/ $56.71 per py)</t>
  </si>
  <si>
    <t xml:space="preserve">Projected Fee Revenue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</si>
</sst>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F800]dddd\,\ mmmm\ dd\,\ yyyy"/>
    <numFmt numFmtId="166" formatCode="0.0%"/>
    <numFmt numFmtId="167" formatCode="_(&quot;$&quot;* #,##0.000000_);_(&quot;$&quot;* \(#,##0.000000\);_(&quot;$&quot;* &quot;-&quot;??????_);_(@_)"/>
    <numFmt numFmtId="168" formatCode="_(&quot;$&quot;* #,##0_);_(&quot;$&quot;* \(#,##0\);_(&quot;$&quot;* &quot;-&quot;??_);_(@_)"/>
    <numFmt numFmtId="169" formatCode="_(* #,##0_);_(* \(#,##0\);_(* &quot;-&quot;??_);_(@_)"/>
    <numFmt numFmtId="170" formatCode="_([$$-409]* #,##0.00_);_([$$-409]* \(#,##0.00\);_([$$-409]* &quot;-&quot;??_);_(@_)"/>
  </numFmts>
  <fonts count="136">
    <font>
      <sz val="10"/>
      <name val="Arial"/>
    </font>
    <font>
      <sz val="10"/>
      <name val="Arial"/>
      <family val="2"/>
    </font>
    <font>
      <b/>
      <i/>
      <sz val="22"/>
      <color indexed="9"/>
      <name val="Arial Narrow"/>
      <family val="2"/>
    </font>
    <font>
      <b/>
      <i/>
      <sz val="8"/>
      <color indexed="9"/>
      <name val="Arial Narrow"/>
      <family val="2"/>
    </font>
    <font>
      <b/>
      <i/>
      <sz val="22"/>
      <name val="Arial Narrow"/>
      <family val="2"/>
    </font>
    <font>
      <sz val="12"/>
      <color indexed="9"/>
      <name val="Arial Narrow"/>
      <family val="2"/>
    </font>
    <font>
      <b/>
      <sz val="12"/>
      <color indexed="47"/>
      <name val="Arial Narrow"/>
      <family val="2"/>
    </font>
    <font>
      <sz val="12"/>
      <name val="Arial Narrow"/>
      <family val="2"/>
    </font>
    <font>
      <u/>
      <sz val="16"/>
      <name val="Arial Black"/>
      <family val="2"/>
    </font>
    <font>
      <sz val="16"/>
      <name val="Arial Black"/>
      <family val="2"/>
    </font>
    <font>
      <sz val="12"/>
      <name val="Arial Black"/>
      <family val="2"/>
    </font>
    <font>
      <sz val="11"/>
      <name val="Arial"/>
      <family val="2"/>
    </font>
    <font>
      <b/>
      <sz val="11"/>
      <name val="Arial"/>
      <family val="2"/>
    </font>
    <font>
      <b/>
      <sz val="12"/>
      <name val="Arial Narrow"/>
      <family val="2"/>
    </font>
    <font>
      <b/>
      <sz val="14"/>
      <name val="Arial"/>
      <family val="2"/>
    </font>
    <font>
      <sz val="14"/>
      <name val="Arial Narrow"/>
      <family val="2"/>
    </font>
    <font>
      <b/>
      <sz val="12"/>
      <name val="Arial"/>
      <family val="2"/>
    </font>
    <font>
      <b/>
      <sz val="16"/>
      <name val="Arial"/>
      <family val="2"/>
    </font>
    <font>
      <b/>
      <u/>
      <sz val="11"/>
      <name val="Arial"/>
      <family val="2"/>
    </font>
    <font>
      <b/>
      <u/>
      <sz val="14"/>
      <name val="Arial"/>
      <family val="2"/>
    </font>
    <font>
      <sz val="11"/>
      <name val="Arial Narrow"/>
      <family val="2"/>
    </font>
    <font>
      <sz val="9"/>
      <name val="Arial"/>
      <family val="2"/>
    </font>
    <font>
      <b/>
      <u/>
      <sz val="12"/>
      <name val="Arial Narrow"/>
      <family val="2"/>
    </font>
    <font>
      <b/>
      <sz val="20"/>
      <name val="Arial Narrow"/>
      <family val="2"/>
    </font>
    <font>
      <b/>
      <sz val="36"/>
      <name val="Geneva"/>
      <family val="2"/>
    </font>
    <font>
      <b/>
      <sz val="16"/>
      <name val="Geneva"/>
      <family val="2"/>
    </font>
    <font>
      <b/>
      <u/>
      <sz val="9"/>
      <name val="Geneva"/>
      <family val="2"/>
    </font>
    <font>
      <sz val="10"/>
      <name val="Geneva"/>
      <family val="2"/>
    </font>
    <font>
      <b/>
      <sz val="9.5"/>
      <color indexed="10"/>
      <name val="Geneva"/>
      <family val="2"/>
    </font>
    <font>
      <sz val="9"/>
      <name val="Geneva"/>
      <family val="2"/>
    </font>
    <font>
      <sz val="9"/>
      <color indexed="9"/>
      <name val="Geneva"/>
      <family val="2"/>
    </font>
    <font>
      <b/>
      <sz val="9"/>
      <color indexed="9"/>
      <name val="Geneva"/>
      <family val="2"/>
    </font>
    <font>
      <b/>
      <sz val="9"/>
      <name val="Geneva"/>
      <family val="2"/>
    </font>
    <font>
      <sz val="9"/>
      <color indexed="9"/>
      <name val="Arial Narrow"/>
      <family val="2"/>
    </font>
    <font>
      <b/>
      <u/>
      <sz val="10"/>
      <color indexed="8"/>
      <name val="Arial Narrow"/>
      <family val="2"/>
    </font>
    <font>
      <b/>
      <sz val="9"/>
      <color indexed="10"/>
      <name val="Geneva"/>
      <family val="2"/>
    </font>
    <font>
      <b/>
      <i/>
      <sz val="22"/>
      <color indexed="8"/>
      <name val="Arial Narrow"/>
      <family val="2"/>
    </font>
    <font>
      <sz val="8"/>
      <color indexed="9"/>
      <name val="Arial Narrow"/>
      <family val="2"/>
    </font>
    <font>
      <sz val="8"/>
      <color indexed="9"/>
      <name val="Geneva"/>
      <family val="2"/>
    </font>
    <font>
      <b/>
      <i/>
      <sz val="9"/>
      <name val="Geneva"/>
      <family val="2"/>
    </font>
    <font>
      <b/>
      <sz val="9"/>
      <name val="Arial"/>
      <family val="2"/>
    </font>
    <font>
      <b/>
      <u/>
      <sz val="9"/>
      <name val="Arial"/>
      <family val="2"/>
    </font>
    <font>
      <b/>
      <sz val="10"/>
      <name val="Geneva"/>
      <family val="2"/>
    </font>
    <font>
      <b/>
      <sz val="10"/>
      <name val="Arial"/>
      <family val="2"/>
    </font>
    <font>
      <b/>
      <sz val="12"/>
      <name val="Geneva"/>
      <family val="2"/>
    </font>
    <font>
      <b/>
      <sz val="9"/>
      <color indexed="8"/>
      <name val="Geneva"/>
      <family val="2"/>
    </font>
    <font>
      <b/>
      <sz val="11"/>
      <name val="Arial Narrow"/>
      <family val="2"/>
    </font>
    <font>
      <sz val="12"/>
      <name val="Arial"/>
      <family val="2"/>
    </font>
    <font>
      <u/>
      <sz val="16"/>
      <name val="Arial"/>
      <family val="2"/>
    </font>
    <font>
      <b/>
      <sz val="11"/>
      <color indexed="8"/>
      <name val="Arial"/>
      <family val="2"/>
    </font>
    <font>
      <sz val="16"/>
      <name val="Arial"/>
      <family val="2"/>
    </font>
    <font>
      <b/>
      <sz val="14"/>
      <name val="Arial Narrow"/>
      <family val="2"/>
    </font>
    <font>
      <b/>
      <u/>
      <sz val="11"/>
      <name val="Arial Narrow"/>
      <family val="2"/>
    </font>
    <font>
      <b/>
      <u val="singleAccounting"/>
      <sz val="12"/>
      <name val="Arial Narrow"/>
      <family val="2"/>
    </font>
    <font>
      <sz val="10"/>
      <color indexed="8"/>
      <name val="Arial Narrow"/>
      <family val="2"/>
    </font>
    <font>
      <b/>
      <u/>
      <sz val="16"/>
      <name val="Arial"/>
      <family val="2"/>
    </font>
    <font>
      <sz val="14"/>
      <name val="Arial"/>
      <family val="2"/>
    </font>
    <font>
      <sz val="8"/>
      <name val="Arial"/>
      <family val="2"/>
    </font>
    <font>
      <sz val="11"/>
      <name val="Arial Black"/>
      <family val="2"/>
    </font>
    <font>
      <sz val="10"/>
      <name val="Arial Narrow"/>
      <family val="2"/>
    </font>
    <font>
      <b/>
      <sz val="10"/>
      <name val="Arial Narrow"/>
      <family val="2"/>
    </font>
    <font>
      <b/>
      <u/>
      <sz val="10"/>
      <name val="Arial Narrow"/>
      <family val="2"/>
    </font>
    <font>
      <b/>
      <sz val="10"/>
      <color indexed="10"/>
      <name val="Geneva"/>
      <family val="2"/>
    </font>
    <font>
      <b/>
      <sz val="10"/>
      <color indexed="10"/>
      <name val="Arial"/>
      <family val="2"/>
    </font>
    <font>
      <b/>
      <sz val="12"/>
      <color indexed="9"/>
      <name val="Arial Narrow"/>
      <family val="2"/>
    </font>
    <font>
      <b/>
      <sz val="11"/>
      <color indexed="9"/>
      <name val="Arial"/>
      <family val="2"/>
    </font>
    <font>
      <b/>
      <sz val="10"/>
      <color indexed="9"/>
      <name val="Arial"/>
      <family val="2"/>
    </font>
    <font>
      <b/>
      <sz val="12"/>
      <color indexed="9"/>
      <name val="Arial"/>
      <family val="2"/>
    </font>
    <font>
      <sz val="12"/>
      <color indexed="10"/>
      <name val="Arial Narrow"/>
      <family val="2"/>
    </font>
    <font>
      <sz val="10"/>
      <color indexed="10"/>
      <name val="Arial"/>
      <family val="2"/>
    </font>
    <font>
      <sz val="11"/>
      <color indexed="10"/>
      <name val="Arial"/>
      <family val="2"/>
    </font>
    <font>
      <sz val="10"/>
      <color indexed="10"/>
      <name val="Arial Narrow"/>
      <family val="2"/>
    </font>
    <font>
      <sz val="12"/>
      <color indexed="8"/>
      <name val="Arial Narrow"/>
      <family val="2"/>
    </font>
    <font>
      <sz val="10"/>
      <color indexed="9"/>
      <name val="Arial"/>
      <family val="2"/>
    </font>
    <font>
      <sz val="10"/>
      <color indexed="9"/>
      <name val="Arial Narrow"/>
      <family val="2"/>
    </font>
    <font>
      <b/>
      <i/>
      <sz val="14"/>
      <color indexed="9"/>
      <name val="Arial Narrow"/>
      <family val="2"/>
    </font>
    <font>
      <i/>
      <sz val="9"/>
      <name val="Geneva"/>
      <family val="2"/>
    </font>
    <font>
      <sz val="11"/>
      <color indexed="8"/>
      <name val="Arial"/>
      <family val="2"/>
    </font>
    <font>
      <sz val="20"/>
      <color indexed="10"/>
      <name val="Geneva"/>
      <family val="2"/>
    </font>
    <font>
      <sz val="9"/>
      <color indexed="8"/>
      <name val="Geneva"/>
      <family val="2"/>
    </font>
    <font>
      <sz val="18"/>
      <color indexed="62"/>
      <name val="Geneva"/>
      <family val="2"/>
    </font>
    <font>
      <b/>
      <u/>
      <sz val="16"/>
      <color indexed="62"/>
      <name val="Arial"/>
      <family val="2"/>
    </font>
    <font>
      <sz val="9"/>
      <color indexed="10"/>
      <name val="Geneva"/>
      <family val="2"/>
    </font>
    <font>
      <b/>
      <u/>
      <sz val="10"/>
      <name val="Arial"/>
      <family val="2"/>
    </font>
    <font>
      <sz val="11"/>
      <color indexed="8"/>
      <name val="Calibri"/>
      <family val="2"/>
    </font>
    <font>
      <sz val="8"/>
      <name val="Arial"/>
      <family val="2"/>
    </font>
    <font>
      <sz val="9"/>
      <color indexed="8"/>
      <name val="Geneva"/>
    </font>
    <font>
      <b/>
      <u/>
      <sz val="9"/>
      <color indexed="8"/>
      <name val="Arial Narrow"/>
      <family val="2"/>
    </font>
    <font>
      <b/>
      <sz val="9"/>
      <color indexed="8"/>
      <name val="Arial Narrow"/>
      <family val="2"/>
    </font>
    <font>
      <b/>
      <sz val="18"/>
      <name val="Geneva"/>
      <family val="2"/>
    </font>
    <font>
      <b/>
      <sz val="10"/>
      <color indexed="8"/>
      <name val="Arial Narrow"/>
      <family val="2"/>
    </font>
    <font>
      <b/>
      <i/>
      <sz val="12"/>
      <color indexed="9"/>
      <name val="Arial Narrow"/>
      <family val="2"/>
    </font>
    <font>
      <sz val="10"/>
      <name val="MS Sans Serif"/>
      <family val="2"/>
    </font>
    <font>
      <sz val="7"/>
      <name val="Arial"/>
      <family val="2"/>
    </font>
    <font>
      <b/>
      <sz val="8"/>
      <name val="Arial"/>
      <family val="2"/>
    </font>
    <font>
      <sz val="6"/>
      <name val="Arial"/>
      <family val="2"/>
    </font>
    <font>
      <b/>
      <u/>
      <sz val="6"/>
      <name val="Arial"/>
      <family val="2"/>
    </font>
    <font>
      <sz val="11"/>
      <color indexed="10"/>
      <name val="Arial Narrow"/>
      <family val="2"/>
    </font>
    <font>
      <sz val="8"/>
      <name val="Geneva"/>
    </font>
    <font>
      <b/>
      <i/>
      <sz val="22"/>
      <color indexed="9"/>
      <name val="Arial"/>
      <family val="2"/>
    </font>
    <font>
      <b/>
      <i/>
      <sz val="16"/>
      <color indexed="9"/>
      <name val="Arial Narrow"/>
      <family val="2"/>
    </font>
    <font>
      <sz val="11"/>
      <color rgb="FF000000"/>
      <name val="Calibri"/>
      <family val="2"/>
    </font>
    <font>
      <sz val="11"/>
      <color rgb="FFFF0000"/>
      <name val="Arial Narrow"/>
      <family val="2"/>
    </font>
    <font>
      <sz val="12"/>
      <name val="Arial Narrow"/>
      <family val="2"/>
    </font>
    <font>
      <sz val="9"/>
      <name val="Geneva"/>
    </font>
    <font>
      <b/>
      <u/>
      <sz val="9"/>
      <name val="Geneva"/>
    </font>
    <font>
      <u/>
      <sz val="10"/>
      <name val="Arial Black"/>
      <family val="2"/>
    </font>
    <font>
      <sz val="10"/>
      <name val="Arial Black"/>
      <family val="2"/>
    </font>
    <font>
      <sz val="12"/>
      <color rgb="FFFF0000"/>
      <name val="Geneva"/>
      <family val="2"/>
    </font>
    <font>
      <b/>
      <sz val="12"/>
      <color rgb="FFFF0000"/>
      <name val="Geneva"/>
      <family val="2"/>
    </font>
    <font>
      <sz val="12"/>
      <color theme="1"/>
      <name val="Geneva"/>
      <family val="2"/>
    </font>
    <font>
      <sz val="12"/>
      <color rgb="FFFF0000"/>
      <name val="Arial"/>
      <family val="2"/>
    </font>
    <font>
      <sz val="12"/>
      <name val="Geneva"/>
      <family val="2"/>
    </font>
    <font>
      <b/>
      <sz val="11"/>
      <name val="Geneva"/>
      <family val="2"/>
    </font>
    <font>
      <sz val="12"/>
      <color theme="1"/>
      <name val="Arial"/>
      <family val="2"/>
    </font>
    <font>
      <b/>
      <sz val="12"/>
      <color theme="1"/>
      <name val="Arial"/>
      <family val="2"/>
    </font>
    <font>
      <b/>
      <u/>
      <sz val="11"/>
      <color indexed="8"/>
      <name val="Arial Narrow"/>
      <family val="2"/>
    </font>
    <font>
      <b/>
      <u/>
      <sz val="12"/>
      <name val="Geneva"/>
      <family val="2"/>
    </font>
    <font>
      <i/>
      <sz val="12"/>
      <name val="Geneva"/>
      <family val="2"/>
    </font>
    <font>
      <b/>
      <u/>
      <sz val="12"/>
      <name val="Arial"/>
      <family val="2"/>
    </font>
    <font>
      <sz val="12"/>
      <color indexed="8"/>
      <name val="Geneva"/>
      <family val="2"/>
    </font>
    <font>
      <b/>
      <i/>
      <sz val="12"/>
      <name val="Geneva"/>
    </font>
    <font>
      <b/>
      <sz val="9"/>
      <color theme="1"/>
      <name val="Geneva"/>
      <family val="2"/>
    </font>
    <font>
      <sz val="9"/>
      <color rgb="FFFF0000"/>
      <name val="Geneva"/>
      <family val="2"/>
    </font>
    <font>
      <sz val="14"/>
      <name val="Geneva"/>
      <family val="2"/>
    </font>
    <font>
      <sz val="14"/>
      <name val="Geneva"/>
    </font>
    <font>
      <sz val="14"/>
      <color indexed="9"/>
      <name val="Arial Narrow"/>
      <family val="2"/>
    </font>
    <font>
      <sz val="14"/>
      <color indexed="9"/>
      <name val="Geneva"/>
      <family val="2"/>
    </font>
    <font>
      <i/>
      <sz val="10"/>
      <name val="Arial"/>
      <family val="2"/>
    </font>
    <font>
      <u/>
      <sz val="10"/>
      <name val="Arial"/>
      <family val="2"/>
    </font>
    <font>
      <sz val="10"/>
      <color theme="1"/>
      <name val="Arial"/>
      <family val="2"/>
    </font>
    <font>
      <sz val="9"/>
      <color theme="1"/>
      <name val="Geneva"/>
      <family val="2"/>
    </font>
    <font>
      <sz val="9"/>
      <color theme="1"/>
      <name val="Geniva"/>
    </font>
    <font>
      <b/>
      <sz val="9"/>
      <color theme="1"/>
      <name val="Geniva"/>
    </font>
    <font>
      <b/>
      <sz val="20"/>
      <color indexed="10"/>
      <name val="Geneva"/>
    </font>
    <font>
      <i/>
      <sz val="14"/>
      <name val="Arial"/>
      <family val="2"/>
    </font>
  </fonts>
  <fills count="31">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50"/>
        <bgColor indexed="64"/>
      </patternFill>
    </fill>
    <fill>
      <patternFill patternType="solid">
        <fgColor indexed="55"/>
        <bgColor indexed="64"/>
      </patternFill>
    </fill>
    <fill>
      <patternFill patternType="solid">
        <fgColor indexed="13"/>
        <bgColor indexed="64"/>
      </patternFill>
    </fill>
    <fill>
      <patternFill patternType="solid">
        <fgColor indexed="34"/>
        <bgColor indexed="64"/>
      </patternFill>
    </fill>
    <fill>
      <patternFill patternType="solid">
        <fgColor indexed="43"/>
        <bgColor indexed="64"/>
      </patternFill>
    </fill>
    <fill>
      <patternFill patternType="solid">
        <fgColor indexed="51"/>
        <bgColor indexed="64"/>
      </patternFill>
    </fill>
    <fill>
      <patternFill patternType="solid">
        <fgColor indexed="47"/>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1"/>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C000"/>
        <bgColor indexed="64"/>
      </patternFill>
    </fill>
    <fill>
      <patternFill patternType="solid">
        <fgColor indexed="41"/>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rgb="FFCCFFCC"/>
        <bgColor indexed="64"/>
      </patternFill>
    </fill>
  </fills>
  <borders count="71">
    <border>
      <left/>
      <right/>
      <top/>
      <bottom/>
      <diagonal/>
    </border>
    <border>
      <left style="medium">
        <color indexed="64"/>
      </left>
      <right/>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DashDot">
        <color indexed="64"/>
      </left>
      <right style="mediumDashDot">
        <color indexed="64"/>
      </right>
      <top/>
      <bottom/>
      <diagonal/>
    </border>
    <border>
      <left style="mediumDashDot">
        <color indexed="64"/>
      </left>
      <right style="mediumDashDot">
        <color indexed="64"/>
      </right>
      <top style="mediumDashDot">
        <color indexed="64"/>
      </top>
      <bottom/>
      <diagonal/>
    </border>
    <border>
      <left style="mediumDashDot">
        <color indexed="64"/>
      </left>
      <right style="mediumDashDot">
        <color indexed="64"/>
      </right>
      <top/>
      <bottom style="mediumDashDot">
        <color indexed="64"/>
      </bottom>
      <diagonal/>
    </border>
    <border>
      <left/>
      <right/>
      <top/>
      <bottom style="mediumDashDot">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DashDot">
        <color indexed="64"/>
      </left>
      <right style="mediumDashDot">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mediumDashDot">
        <color indexed="64"/>
      </left>
      <right style="mediumDashDot">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DashDot">
        <color indexed="64"/>
      </left>
      <right style="mediumDashDot">
        <color indexed="64"/>
      </right>
      <top/>
      <bottom style="thin">
        <color indexed="64"/>
      </bottom>
      <diagonal/>
    </border>
    <border>
      <left style="medium">
        <color indexed="64"/>
      </left>
      <right/>
      <top style="thin">
        <color indexed="64"/>
      </top>
      <bottom/>
      <diagonal/>
    </border>
    <border>
      <left style="mediumDashDot">
        <color indexed="64"/>
      </left>
      <right style="mediumDashDot">
        <color indexed="64"/>
      </right>
      <top style="thin">
        <color indexed="64"/>
      </top>
      <bottom style="mediumDashDot">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DashDot">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DashDot">
        <color indexed="64"/>
      </bottom>
      <diagonal/>
    </border>
    <border>
      <left/>
      <right style="thin">
        <color indexed="64"/>
      </right>
      <top/>
      <bottom style="mediumDashDot">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DashDot">
        <color indexed="64"/>
      </left>
      <right style="mediumDashDot">
        <color indexed="64"/>
      </right>
      <top/>
      <bottom style="medium">
        <color indexed="64"/>
      </bottom>
      <diagonal/>
    </border>
  </borders>
  <cellStyleXfs count="11">
    <xf numFmtId="0" fontId="0" fillId="0" borderId="0"/>
    <xf numFmtId="43" fontId="1" fillId="0" borderId="0" applyFont="0" applyFill="0" applyBorder="0" applyAlignment="0" applyProtection="0"/>
    <xf numFmtId="40" fontId="92" fillId="0" borderId="0" applyFont="0" applyFill="0" applyBorder="0" applyAlignment="0" applyProtection="0"/>
    <xf numFmtId="44" fontId="1" fillId="0" borderId="0" applyFont="0" applyFill="0" applyBorder="0" applyAlignment="0" applyProtection="0"/>
    <xf numFmtId="8" fontId="92" fillId="0" borderId="0" applyFont="0" applyFill="0" applyBorder="0" applyAlignment="0" applyProtection="0"/>
    <xf numFmtId="0" fontId="92" fillId="0" borderId="0"/>
    <xf numFmtId="0" fontId="92" fillId="0" borderId="0"/>
    <xf numFmtId="0" fontId="92"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504">
    <xf numFmtId="0" fontId="0" fillId="0" borderId="0" xfId="0"/>
    <xf numFmtId="0" fontId="4" fillId="0" borderId="0" xfId="0" applyFont="1"/>
    <xf numFmtId="0" fontId="7" fillId="0" borderId="0" xfId="0" applyFont="1"/>
    <xf numFmtId="0" fontId="7" fillId="0" borderId="1" xfId="0" applyFont="1" applyBorder="1"/>
    <xf numFmtId="44" fontId="7" fillId="0" borderId="0" xfId="0" applyNumberFormat="1" applyFont="1" applyBorder="1"/>
    <xf numFmtId="44" fontId="7" fillId="0" borderId="0" xfId="3" applyFont="1" applyBorder="1"/>
    <xf numFmtId="44" fontId="7" fillId="0" borderId="2" xfId="3" applyFont="1" applyBorder="1"/>
    <xf numFmtId="0" fontId="7" fillId="0" borderId="2" xfId="0" applyFont="1" applyBorder="1"/>
    <xf numFmtId="0" fontId="8" fillId="0" borderId="1" xfId="0" applyFont="1" applyBorder="1"/>
    <xf numFmtId="44" fontId="9" fillId="0" borderId="0" xfId="3" applyFont="1" applyBorder="1"/>
    <xf numFmtId="44" fontId="9" fillId="0" borderId="0" xfId="3" applyNumberFormat="1" applyFont="1" applyBorder="1"/>
    <xf numFmtId="44" fontId="9" fillId="0" borderId="0" xfId="3" applyNumberFormat="1" applyFont="1" applyFill="1" applyBorder="1"/>
    <xf numFmtId="44" fontId="9" fillId="0" borderId="0" xfId="3" applyFont="1" applyFill="1" applyBorder="1"/>
    <xf numFmtId="0" fontId="9" fillId="0" borderId="0" xfId="0" applyFont="1"/>
    <xf numFmtId="0" fontId="13" fillId="0" borderId="0" xfId="0" applyFont="1" applyBorder="1"/>
    <xf numFmtId="0" fontId="13" fillId="0" borderId="0" xfId="0" applyFont="1"/>
    <xf numFmtId="44" fontId="7" fillId="0" borderId="0" xfId="0" applyNumberFormat="1" applyFont="1" applyFill="1" applyBorder="1"/>
    <xf numFmtId="44" fontId="7" fillId="0" borderId="0" xfId="3" applyFont="1" applyFill="1" applyBorder="1"/>
    <xf numFmtId="0" fontId="7" fillId="0" borderId="0" xfId="0" applyFont="1" applyBorder="1"/>
    <xf numFmtId="0" fontId="7" fillId="0" borderId="3" xfId="0" applyFont="1" applyBorder="1"/>
    <xf numFmtId="0" fontId="9" fillId="0" borderId="0" xfId="0" applyFont="1" applyFill="1" applyBorder="1"/>
    <xf numFmtId="0" fontId="11" fillId="0" borderId="1" xfId="0" applyFont="1" applyFill="1" applyBorder="1"/>
    <xf numFmtId="0" fontId="12" fillId="0" borderId="1" xfId="0" applyFont="1" applyFill="1" applyBorder="1"/>
    <xf numFmtId="0" fontId="17" fillId="0" borderId="0" xfId="0" applyFont="1"/>
    <xf numFmtId="0" fontId="18" fillId="0" borderId="1" xfId="0" applyFont="1" applyFill="1" applyBorder="1"/>
    <xf numFmtId="44" fontId="7" fillId="0" borderId="4" xfId="3" applyNumberFormat="1" applyFont="1" applyFill="1" applyBorder="1"/>
    <xf numFmtId="0" fontId="7" fillId="0" borderId="0" xfId="0" applyFont="1" applyFill="1"/>
    <xf numFmtId="44" fontId="7" fillId="0" borderId="0" xfId="0" applyNumberFormat="1" applyFont="1" applyFill="1"/>
    <xf numFmtId="44" fontId="7" fillId="0" borderId="0" xfId="3" applyNumberFormat="1" applyFont="1" applyFill="1"/>
    <xf numFmtId="44" fontId="7" fillId="0" borderId="0" xfId="3" applyFont="1"/>
    <xf numFmtId="44" fontId="21" fillId="0" borderId="0" xfId="3" applyFont="1" applyFill="1" applyBorder="1"/>
    <xf numFmtId="44" fontId="7" fillId="0" borderId="0" xfId="0" applyNumberFormat="1" applyFont="1"/>
    <xf numFmtId="44" fontId="7" fillId="0" borderId="0" xfId="3" applyNumberFormat="1" applyFont="1"/>
    <xf numFmtId="0" fontId="22" fillId="0" borderId="0" xfId="0" applyFont="1" applyAlignment="1">
      <alignment horizontal="right"/>
    </xf>
    <xf numFmtId="44" fontId="22" fillId="0" borderId="0" xfId="0" applyNumberFormat="1" applyFont="1" applyAlignment="1">
      <alignment horizontal="right"/>
    </xf>
    <xf numFmtId="0" fontId="23" fillId="0" borderId="0" xfId="0" applyFont="1" applyAlignment="1">
      <alignment horizontal="center"/>
    </xf>
    <xf numFmtId="14" fontId="24" fillId="0" borderId="0" xfId="0" applyNumberFormat="1" applyFont="1" applyAlignment="1">
      <alignment horizontal="center"/>
    </xf>
    <xf numFmtId="0" fontId="0" fillId="0" borderId="0" xfId="0" applyFill="1"/>
    <xf numFmtId="0" fontId="27" fillId="0" borderId="0" xfId="0" applyFont="1" applyFill="1"/>
    <xf numFmtId="0" fontId="28" fillId="0" borderId="0" xfId="0" applyFont="1" applyFill="1" applyAlignment="1">
      <alignment horizontal="center"/>
    </xf>
    <xf numFmtId="0" fontId="2" fillId="2" borderId="0" xfId="0" applyFont="1" applyFill="1"/>
    <xf numFmtId="166" fontId="5" fillId="2" borderId="0" xfId="8" applyNumberFormat="1" applyFont="1" applyFill="1" applyAlignment="1">
      <alignment horizontal="center"/>
    </xf>
    <xf numFmtId="44" fontId="5" fillId="2" borderId="0" xfId="3" applyFont="1" applyFill="1" applyAlignment="1">
      <alignment horizontal="center"/>
    </xf>
    <xf numFmtId="44" fontId="5" fillId="0" borderId="0" xfId="3" applyFont="1" applyFill="1" applyAlignment="1">
      <alignment horizontal="center"/>
    </xf>
    <xf numFmtId="13" fontId="5" fillId="0" borderId="0" xfId="3" applyNumberFormat="1" applyFont="1" applyFill="1" applyAlignment="1">
      <alignment horizontal="center"/>
    </xf>
    <xf numFmtId="167" fontId="5" fillId="0" borderId="0" xfId="3" applyNumberFormat="1" applyFont="1" applyFill="1" applyAlignment="1">
      <alignment horizontal="center"/>
    </xf>
    <xf numFmtId="9" fontId="5" fillId="0" borderId="0" xfId="8" applyFont="1" applyFill="1" applyAlignment="1">
      <alignment horizontal="center"/>
    </xf>
    <xf numFmtId="0" fontId="29" fillId="0" borderId="0" xfId="0" applyFont="1"/>
    <xf numFmtId="0" fontId="5" fillId="2" borderId="0" xfId="0" applyFont="1" applyFill="1" applyAlignment="1">
      <alignment horizontal="center"/>
    </xf>
    <xf numFmtId="168" fontId="5" fillId="0" borderId="0" xfId="8" applyNumberFormat="1" applyFont="1" applyFill="1" applyAlignment="1">
      <alignment horizontal="center"/>
    </xf>
    <xf numFmtId="0" fontId="30" fillId="2" borderId="0" xfId="0" applyFont="1" applyFill="1"/>
    <xf numFmtId="0" fontId="31" fillId="2" borderId="0" xfId="0" applyFont="1" applyFill="1" applyAlignment="1">
      <alignment horizontal="center"/>
    </xf>
    <xf numFmtId="166" fontId="31" fillId="2" borderId="0" xfId="8" applyNumberFormat="1" applyFont="1" applyFill="1" applyAlignment="1">
      <alignment horizontal="center"/>
    </xf>
    <xf numFmtId="0" fontId="30" fillId="0" borderId="0" xfId="0" applyFont="1"/>
    <xf numFmtId="0" fontId="31" fillId="0" borderId="0" xfId="0" applyFont="1" applyFill="1" applyAlignment="1">
      <alignment horizontal="center"/>
    </xf>
    <xf numFmtId="167" fontId="31" fillId="0" borderId="0" xfId="0" applyNumberFormat="1" applyFont="1" applyFill="1" applyAlignment="1">
      <alignment horizontal="center"/>
    </xf>
    <xf numFmtId="0" fontId="32" fillId="0" borderId="0" xfId="0" applyFont="1" applyAlignment="1">
      <alignment horizontal="center"/>
    </xf>
    <xf numFmtId="9" fontId="32" fillId="0" borderId="0" xfId="8" applyFont="1" applyAlignment="1">
      <alignment horizontal="center"/>
    </xf>
    <xf numFmtId="0" fontId="32" fillId="0" borderId="0" xfId="0" applyFont="1" applyFill="1" applyAlignment="1">
      <alignment horizontal="center"/>
    </xf>
    <xf numFmtId="167" fontId="32" fillId="0" borderId="0" xfId="0" applyNumberFormat="1" applyFont="1" applyFill="1" applyAlignment="1">
      <alignment horizontal="center"/>
    </xf>
    <xf numFmtId="0" fontId="32" fillId="0" borderId="0" xfId="0" applyFont="1" applyAlignment="1">
      <alignment horizontal="left"/>
    </xf>
    <xf numFmtId="44" fontId="0" fillId="0" borderId="0" xfId="3" applyFont="1"/>
    <xf numFmtId="44" fontId="0" fillId="0" borderId="0" xfId="3" applyFont="1" applyFill="1" applyBorder="1" applyAlignment="1">
      <alignment horizontal="center"/>
    </xf>
    <xf numFmtId="167" fontId="0" fillId="0" borderId="0" xfId="3" applyNumberFormat="1" applyFont="1" applyFill="1" applyBorder="1"/>
    <xf numFmtId="44" fontId="0" fillId="0" borderId="0" xfId="3" applyFont="1" applyFill="1" applyBorder="1"/>
    <xf numFmtId="167" fontId="29" fillId="0" borderId="0" xfId="3" applyNumberFormat="1" applyFont="1" applyFill="1" applyBorder="1"/>
    <xf numFmtId="44" fontId="0" fillId="0" borderId="0" xfId="3" applyFont="1" applyFill="1"/>
    <xf numFmtId="167" fontId="0" fillId="0" borderId="0" xfId="3" applyNumberFormat="1" applyFont="1" applyFill="1"/>
    <xf numFmtId="44" fontId="29" fillId="0" borderId="0" xfId="3" applyFont="1" applyFill="1"/>
    <xf numFmtId="9" fontId="0" fillId="0" borderId="0" xfId="8" applyFont="1"/>
    <xf numFmtId="167" fontId="0" fillId="0" borderId="0" xfId="0" applyNumberFormat="1"/>
    <xf numFmtId="166" fontId="0" fillId="0" borderId="0" xfId="8" applyNumberFormat="1" applyFont="1"/>
    <xf numFmtId="167" fontId="30" fillId="0" borderId="0" xfId="0" applyNumberFormat="1" applyFont="1"/>
    <xf numFmtId="37" fontId="0" fillId="0" borderId="0" xfId="0" applyNumberFormat="1"/>
    <xf numFmtId="10" fontId="0" fillId="0" borderId="0" xfId="8" applyNumberFormat="1" applyFont="1"/>
    <xf numFmtId="169" fontId="0" fillId="0" borderId="0" xfId="0" applyNumberFormat="1"/>
    <xf numFmtId="168" fontId="0" fillId="0" borderId="0" xfId="3" applyNumberFormat="1" applyFont="1"/>
    <xf numFmtId="37" fontId="0" fillId="0" borderId="0" xfId="3" applyNumberFormat="1" applyFont="1"/>
    <xf numFmtId="169" fontId="0" fillId="0" borderId="0" xfId="3" applyNumberFormat="1" applyFont="1"/>
    <xf numFmtId="0" fontId="32" fillId="0" borderId="0" xfId="0" applyFont="1"/>
    <xf numFmtId="166" fontId="32" fillId="0" borderId="0" xfId="8" applyNumberFormat="1" applyFont="1" applyAlignment="1">
      <alignment horizontal="center"/>
    </xf>
    <xf numFmtId="0" fontId="0" fillId="0" borderId="5" xfId="0" applyBorder="1"/>
    <xf numFmtId="167" fontId="32" fillId="0" borderId="0" xfId="0" applyNumberFormat="1" applyFont="1" applyAlignment="1">
      <alignment horizontal="center"/>
    </xf>
    <xf numFmtId="44" fontId="0" fillId="0" borderId="0" xfId="3" applyNumberFormat="1" applyFont="1"/>
    <xf numFmtId="169" fontId="0" fillId="0" borderId="0" xfId="1" applyNumberFormat="1" applyFont="1"/>
    <xf numFmtId="167" fontId="0" fillId="0" borderId="0" xfId="3" applyNumberFormat="1" applyFont="1"/>
    <xf numFmtId="44" fontId="0" fillId="0" borderId="0" xfId="3" applyFont="1" applyBorder="1"/>
    <xf numFmtId="44" fontId="0" fillId="0" borderId="0" xfId="0" applyNumberFormat="1" applyBorder="1"/>
    <xf numFmtId="0" fontId="0" fillId="0" borderId="0" xfId="0" applyBorder="1"/>
    <xf numFmtId="9" fontId="0" fillId="0" borderId="0" xfId="0" applyNumberFormat="1"/>
    <xf numFmtId="44" fontId="0" fillId="0" borderId="0" xfId="1" applyNumberFormat="1" applyFont="1"/>
    <xf numFmtId="0" fontId="0" fillId="0" borderId="0" xfId="0" applyFill="1" applyBorder="1"/>
    <xf numFmtId="167" fontId="0" fillId="0" borderId="0" xfId="0" applyNumberFormat="1" applyFill="1" applyBorder="1"/>
    <xf numFmtId="44" fontId="5" fillId="0" borderId="0" xfId="3" applyNumberFormat="1" applyFont="1" applyFill="1" applyBorder="1" applyAlignment="1">
      <alignment horizontal="center"/>
    </xf>
    <xf numFmtId="167" fontId="5" fillId="0" borderId="0" xfId="3" applyNumberFormat="1" applyFont="1" applyFill="1" applyBorder="1" applyAlignment="1">
      <alignment horizontal="center"/>
    </xf>
    <xf numFmtId="0" fontId="33" fillId="0" borderId="0" xfId="0" applyFont="1" applyFill="1" applyBorder="1" applyAlignment="1">
      <alignment horizontal="center"/>
    </xf>
    <xf numFmtId="0" fontId="29" fillId="0" borderId="0" xfId="0" applyFont="1" applyFill="1" applyBorder="1"/>
    <xf numFmtId="16" fontId="31" fillId="0" borderId="0" xfId="0" applyNumberFormat="1" applyFont="1" applyFill="1" applyBorder="1" applyAlignment="1">
      <alignment horizontal="center"/>
    </xf>
    <xf numFmtId="3" fontId="0" fillId="0" borderId="0" xfId="0" applyNumberFormat="1" applyFill="1" applyBorder="1" applyAlignment="1">
      <alignment horizontal="center"/>
    </xf>
    <xf numFmtId="44" fontId="0" fillId="0" borderId="0" xfId="0" applyNumberFormat="1" applyFill="1" applyBorder="1"/>
    <xf numFmtId="0" fontId="32" fillId="0" borderId="0" xfId="0" applyFont="1" applyBorder="1" applyAlignment="1">
      <alignment horizontal="center"/>
    </xf>
    <xf numFmtId="167" fontId="35" fillId="0" borderId="0" xfId="0" applyNumberFormat="1" applyFont="1"/>
    <xf numFmtId="0" fontId="0" fillId="0" borderId="0" xfId="0" applyFill="1" applyBorder="1" applyAlignment="1">
      <alignment horizontal="right"/>
    </xf>
    <xf numFmtId="169" fontId="0" fillId="0" borderId="0" xfId="0" applyNumberFormat="1" applyFill="1" applyBorder="1"/>
    <xf numFmtId="169" fontId="32" fillId="0" borderId="0" xfId="0" applyNumberFormat="1" applyFont="1" applyFill="1" applyBorder="1" applyAlignment="1">
      <alignment horizontal="center"/>
    </xf>
    <xf numFmtId="41" fontId="0" fillId="0" borderId="0" xfId="0" applyNumberFormat="1" applyFill="1" applyBorder="1"/>
    <xf numFmtId="0" fontId="29" fillId="0" borderId="0" xfId="0" applyFont="1" applyFill="1"/>
    <xf numFmtId="0" fontId="0" fillId="0" borderId="0" xfId="0" applyAlignment="1">
      <alignment horizontal="right"/>
    </xf>
    <xf numFmtId="43" fontId="0" fillId="0" borderId="0" xfId="0" applyNumberFormat="1"/>
    <xf numFmtId="0" fontId="0" fillId="0" borderId="0" xfId="0" applyFill="1" applyAlignment="1">
      <alignment horizontal="right"/>
    </xf>
    <xf numFmtId="43" fontId="0" fillId="0" borderId="0" xfId="0" applyNumberFormat="1" applyFill="1"/>
    <xf numFmtId="0" fontId="2" fillId="0" borderId="0" xfId="0" applyFont="1" applyFill="1"/>
    <xf numFmtId="166" fontId="5" fillId="0" borderId="0" xfId="8" applyNumberFormat="1" applyFont="1" applyFill="1" applyAlignment="1">
      <alignment horizontal="center"/>
    </xf>
    <xf numFmtId="0" fontId="5" fillId="0" borderId="0" xfId="0" applyFont="1" applyFill="1" applyAlignment="1">
      <alignment horizontal="center"/>
    </xf>
    <xf numFmtId="0" fontId="30" fillId="0" borderId="0" xfId="0" applyFont="1" applyFill="1"/>
    <xf numFmtId="166" fontId="31" fillId="0" borderId="0" xfId="8" applyNumberFormat="1" applyFont="1" applyFill="1" applyAlignment="1">
      <alignment horizontal="center"/>
    </xf>
    <xf numFmtId="166" fontId="32" fillId="0" borderId="0" xfId="8" applyNumberFormat="1" applyFont="1" applyFill="1" applyAlignment="1">
      <alignment horizontal="center"/>
    </xf>
    <xf numFmtId="0" fontId="32" fillId="0" borderId="0" xfId="0" applyFont="1" applyFill="1" applyAlignment="1">
      <alignment horizontal="left"/>
    </xf>
    <xf numFmtId="9" fontId="0" fillId="0" borderId="0" xfId="0" applyNumberFormat="1" applyFill="1"/>
    <xf numFmtId="44" fontId="0" fillId="0" borderId="0" xfId="1" applyNumberFormat="1" applyFont="1" applyFill="1"/>
    <xf numFmtId="37" fontId="0" fillId="0" borderId="0" xfId="3" applyNumberFormat="1" applyFont="1" applyFill="1"/>
    <xf numFmtId="44" fontId="0" fillId="0" borderId="0" xfId="0" applyNumberFormat="1"/>
    <xf numFmtId="44" fontId="39" fillId="0" borderId="0" xfId="3" applyFont="1" applyFill="1" applyBorder="1"/>
    <xf numFmtId="7" fontId="39" fillId="0" borderId="0" xfId="0" applyNumberFormat="1" applyFont="1" applyFill="1" applyBorder="1" applyAlignment="1">
      <alignment horizontal="center"/>
    </xf>
    <xf numFmtId="9" fontId="29" fillId="0" borderId="0" xfId="8" applyFont="1"/>
    <xf numFmtId="0" fontId="26" fillId="0" borderId="0" xfId="0" applyFont="1"/>
    <xf numFmtId="44" fontId="29" fillId="0" borderId="0" xfId="3" applyFont="1"/>
    <xf numFmtId="44" fontId="29" fillId="0" borderId="0" xfId="3" applyFont="1" applyBorder="1"/>
    <xf numFmtId="44" fontId="29" fillId="0" borderId="0" xfId="0" applyNumberFormat="1" applyFont="1"/>
    <xf numFmtId="0" fontId="42" fillId="0" borderId="0" xfId="0" applyFont="1"/>
    <xf numFmtId="44" fontId="42" fillId="0" borderId="0" xfId="0" applyNumberFormat="1" applyFont="1"/>
    <xf numFmtId="0" fontId="44" fillId="0" borderId="6" xfId="0" applyFont="1" applyBorder="1"/>
    <xf numFmtId="0" fontId="0" fillId="0" borderId="2" xfId="0" applyBorder="1"/>
    <xf numFmtId="0" fontId="42" fillId="0" borderId="1" xfId="0" applyFont="1" applyBorder="1" applyAlignment="1">
      <alignment horizontal="right"/>
    </xf>
    <xf numFmtId="0" fontId="42" fillId="0" borderId="1" xfId="0" applyFont="1" applyBorder="1"/>
    <xf numFmtId="0" fontId="0" fillId="0" borderId="1" xfId="0" applyBorder="1"/>
    <xf numFmtId="44" fontId="21" fillId="0" borderId="0" xfId="0" applyNumberFormat="1" applyFont="1" applyBorder="1"/>
    <xf numFmtId="0" fontId="0" fillId="0" borderId="4" xfId="0" applyBorder="1"/>
    <xf numFmtId="44" fontId="29" fillId="0" borderId="4" xfId="3" applyFont="1" applyBorder="1"/>
    <xf numFmtId="0" fontId="10" fillId="0" borderId="2" xfId="0" applyFont="1" applyBorder="1"/>
    <xf numFmtId="0" fontId="10" fillId="0" borderId="7" xfId="0" applyFont="1" applyBorder="1"/>
    <xf numFmtId="0" fontId="0" fillId="0" borderId="1" xfId="0" applyFill="1" applyBorder="1" applyAlignment="1">
      <alignment horizontal="right"/>
    </xf>
    <xf numFmtId="0" fontId="7" fillId="0" borderId="3" xfId="0" applyFont="1" applyFill="1" applyBorder="1"/>
    <xf numFmtId="44" fontId="9" fillId="0" borderId="3" xfId="3" applyFont="1" applyFill="1" applyBorder="1"/>
    <xf numFmtId="0" fontId="13" fillId="0" borderId="1" xfId="0" applyFont="1" applyFill="1" applyBorder="1"/>
    <xf numFmtId="0" fontId="13" fillId="0" borderId="3" xfId="0" applyFont="1" applyFill="1" applyBorder="1"/>
    <xf numFmtId="0" fontId="0" fillId="0" borderId="1" xfId="0" applyFill="1" applyBorder="1"/>
    <xf numFmtId="0" fontId="7" fillId="0" borderId="1" xfId="0" applyFont="1" applyFill="1" applyBorder="1"/>
    <xf numFmtId="44" fontId="7" fillId="0" borderId="4" xfId="3" applyFont="1" applyFill="1" applyBorder="1"/>
    <xf numFmtId="44" fontId="7" fillId="0" borderId="0" xfId="3" applyFont="1" applyFill="1"/>
    <xf numFmtId="9" fontId="7" fillId="0" borderId="0" xfId="8" applyFont="1" applyFill="1"/>
    <xf numFmtId="0" fontId="22" fillId="0" borderId="0" xfId="0" applyFont="1" applyFill="1" applyBorder="1"/>
    <xf numFmtId="0" fontId="7" fillId="0" borderId="0" xfId="0" applyFont="1" applyFill="1" applyBorder="1"/>
    <xf numFmtId="0" fontId="22" fillId="0" borderId="0" xfId="0" applyFont="1"/>
    <xf numFmtId="44" fontId="22" fillId="0" borderId="0" xfId="0" applyNumberFormat="1" applyFont="1"/>
    <xf numFmtId="9" fontId="7" fillId="0" borderId="0" xfId="8" applyFont="1"/>
    <xf numFmtId="43" fontId="7" fillId="0" borderId="0" xfId="0" applyNumberFormat="1" applyFont="1" applyBorder="1" applyAlignment="1">
      <alignment horizontal="left"/>
    </xf>
    <xf numFmtId="43" fontId="0" fillId="0" borderId="0" xfId="0" applyNumberFormat="1" applyBorder="1"/>
    <xf numFmtId="9" fontId="7" fillId="0" borderId="0" xfId="8" applyFont="1" applyBorder="1"/>
    <xf numFmtId="44" fontId="47" fillId="0" borderId="0" xfId="3" applyFont="1" applyBorder="1"/>
    <xf numFmtId="0" fontId="0" fillId="0" borderId="0" xfId="0" applyBorder="1" applyAlignment="1">
      <alignment horizontal="right"/>
    </xf>
    <xf numFmtId="44" fontId="15" fillId="0" borderId="4" xfId="3" applyFont="1" applyBorder="1"/>
    <xf numFmtId="44" fontId="51" fillId="0" borderId="4" xfId="3" applyFont="1" applyBorder="1" applyAlignment="1">
      <alignment horizontal="center"/>
    </xf>
    <xf numFmtId="44" fontId="7" fillId="0" borderId="0" xfId="3" applyFont="1" applyBorder="1" applyAlignment="1">
      <alignment horizontal="right"/>
    </xf>
    <xf numFmtId="0" fontId="22" fillId="0" borderId="0" xfId="0" applyFont="1" applyBorder="1" applyAlignment="1">
      <alignment horizontal="right"/>
    </xf>
    <xf numFmtId="44" fontId="22" fillId="0" borderId="0" xfId="0" applyNumberFormat="1" applyFont="1" applyBorder="1" applyAlignment="1">
      <alignment horizontal="right"/>
    </xf>
    <xf numFmtId="0" fontId="22" fillId="0" borderId="0" xfId="0" applyFont="1" applyBorder="1"/>
    <xf numFmtId="44" fontId="22" fillId="0" borderId="0" xfId="0" applyNumberFormat="1" applyFont="1" applyBorder="1"/>
    <xf numFmtId="166" fontId="7" fillId="0" borderId="0" xfId="8" applyNumberFormat="1" applyFont="1"/>
    <xf numFmtId="0" fontId="55" fillId="0" borderId="0" xfId="0" applyFont="1"/>
    <xf numFmtId="0" fontId="47" fillId="0" borderId="0" xfId="0" applyFont="1" applyBorder="1"/>
    <xf numFmtId="0" fontId="54" fillId="0" borderId="0" xfId="0" applyFont="1"/>
    <xf numFmtId="0" fontId="47" fillId="0" borderId="0" xfId="0" applyFont="1"/>
    <xf numFmtId="43" fontId="32" fillId="0" borderId="0" xfId="0" applyNumberFormat="1" applyFont="1" applyBorder="1" applyAlignment="1">
      <alignment horizontal="right"/>
    </xf>
    <xf numFmtId="0" fontId="7" fillId="0" borderId="0" xfId="0" applyFont="1" applyAlignment="1">
      <alignment horizontal="right"/>
    </xf>
    <xf numFmtId="44" fontId="7" fillId="0" borderId="0" xfId="0" applyNumberFormat="1" applyFont="1" applyAlignment="1">
      <alignment horizontal="right"/>
    </xf>
    <xf numFmtId="44" fontId="13" fillId="0" borderId="0" xfId="3" applyFont="1" applyBorder="1"/>
    <xf numFmtId="44" fontId="7" fillId="0" borderId="0" xfId="0" applyNumberFormat="1" applyFont="1" applyBorder="1" applyAlignment="1">
      <alignment horizontal="left"/>
    </xf>
    <xf numFmtId="0" fontId="12" fillId="0" borderId="1" xfId="0" applyFont="1" applyFill="1" applyBorder="1" applyAlignment="1">
      <alignment vertical="top"/>
    </xf>
    <xf numFmtId="0" fontId="58" fillId="0" borderId="0" xfId="0" applyFont="1" applyBorder="1"/>
    <xf numFmtId="0" fontId="58" fillId="0" borderId="3" xfId="0" applyFont="1" applyBorder="1"/>
    <xf numFmtId="0" fontId="59" fillId="0" borderId="0" xfId="0" applyFont="1" applyFill="1" applyBorder="1"/>
    <xf numFmtId="0" fontId="60" fillId="0" borderId="0" xfId="0" applyFont="1" applyFill="1" applyBorder="1"/>
    <xf numFmtId="0" fontId="0" fillId="0" borderId="0" xfId="0" applyFill="1" applyAlignment="1">
      <alignment vertical="top"/>
    </xf>
    <xf numFmtId="0" fontId="7" fillId="0" borderId="0" xfId="0" applyFont="1" applyFill="1" applyAlignment="1">
      <alignment vertical="top"/>
    </xf>
    <xf numFmtId="0" fontId="7" fillId="0" borderId="0" xfId="0" applyFont="1" applyFill="1" applyBorder="1" applyAlignment="1">
      <alignment horizontal="right"/>
    </xf>
    <xf numFmtId="0" fontId="13" fillId="0" borderId="0" xfId="0" applyFont="1" applyFill="1" applyBorder="1"/>
    <xf numFmtId="0" fontId="5" fillId="0" borderId="1" xfId="0" applyFont="1" applyFill="1" applyBorder="1" applyAlignment="1">
      <alignment horizontal="center"/>
    </xf>
    <xf numFmtId="0" fontId="26" fillId="0" borderId="1" xfId="0" applyFont="1" applyBorder="1"/>
    <xf numFmtId="0" fontId="26" fillId="0" borderId="0" xfId="0" applyFont="1" applyBorder="1"/>
    <xf numFmtId="0" fontId="29" fillId="0" borderId="1" xfId="0" applyFont="1" applyBorder="1" applyAlignment="1">
      <alignment horizontal="left"/>
    </xf>
    <xf numFmtId="0" fontId="32" fillId="0" borderId="1" xfId="0" applyFont="1" applyBorder="1" applyAlignment="1">
      <alignment horizontal="right"/>
    </xf>
    <xf numFmtId="44" fontId="0" fillId="0" borderId="1" xfId="0" applyNumberFormat="1" applyBorder="1"/>
    <xf numFmtId="0" fontId="0" fillId="0" borderId="1" xfId="0" applyBorder="1" applyAlignment="1">
      <alignment horizontal="left"/>
    </xf>
    <xf numFmtId="0" fontId="26" fillId="0" borderId="10" xfId="0" applyFont="1" applyBorder="1"/>
    <xf numFmtId="0" fontId="61" fillId="0" borderId="0" xfId="0" applyFont="1" applyFill="1" applyAlignment="1">
      <alignment horizontal="left"/>
    </xf>
    <xf numFmtId="0" fontId="62" fillId="0" borderId="1" xfId="0" applyFont="1" applyBorder="1"/>
    <xf numFmtId="165" fontId="43" fillId="0" borderId="0" xfId="0" applyNumberFormat="1" applyFont="1" applyFill="1" applyAlignment="1">
      <alignment horizontal="center"/>
    </xf>
    <xf numFmtId="9" fontId="68" fillId="0" borderId="0" xfId="8" applyFont="1" applyFill="1" applyBorder="1"/>
    <xf numFmtId="0" fontId="69" fillId="0" borderId="0" xfId="0" applyFont="1"/>
    <xf numFmtId="0" fontId="68" fillId="0" borderId="0" xfId="0" applyFont="1"/>
    <xf numFmtId="9" fontId="68" fillId="0" borderId="0" xfId="8" applyFont="1"/>
    <xf numFmtId="9" fontId="70" fillId="0" borderId="1" xfId="8" applyFont="1" applyFill="1" applyBorder="1" applyAlignment="1">
      <alignment vertical="top"/>
    </xf>
    <xf numFmtId="9" fontId="29" fillId="0" borderId="0" xfId="8" applyFont="1" applyFill="1"/>
    <xf numFmtId="44" fontId="46" fillId="0" borderId="0" xfId="3" applyFont="1" applyFill="1" applyAlignment="1">
      <alignment horizontal="center"/>
    </xf>
    <xf numFmtId="0" fontId="59" fillId="0" borderId="3" xfId="0" applyFont="1" applyFill="1" applyBorder="1"/>
    <xf numFmtId="0" fontId="60" fillId="0" borderId="3" xfId="0" applyFont="1" applyFill="1" applyBorder="1"/>
    <xf numFmtId="0" fontId="43" fillId="0" borderId="0" xfId="0" applyFont="1" applyFill="1" applyBorder="1"/>
    <xf numFmtId="0" fontId="8" fillId="0" borderId="1" xfId="0" applyFont="1" applyFill="1" applyBorder="1"/>
    <xf numFmtId="0" fontId="0" fillId="0" borderId="4" xfId="0" applyFill="1" applyBorder="1"/>
    <xf numFmtId="0" fontId="4" fillId="0" borderId="0" xfId="0" applyFont="1" applyFill="1" applyBorder="1"/>
    <xf numFmtId="9" fontId="71" fillId="0" borderId="0" xfId="8" applyFont="1" applyFill="1" applyBorder="1"/>
    <xf numFmtId="0" fontId="9" fillId="0" borderId="2" xfId="0" applyFont="1" applyFill="1" applyBorder="1"/>
    <xf numFmtId="0" fontId="9" fillId="0" borderId="7" xfId="0" applyFont="1" applyFill="1" applyBorder="1"/>
    <xf numFmtId="0" fontId="9" fillId="0" borderId="3" xfId="0" applyFont="1" applyFill="1" applyBorder="1"/>
    <xf numFmtId="9" fontId="71" fillId="0" borderId="3" xfId="8" applyFont="1" applyFill="1" applyBorder="1"/>
    <xf numFmtId="0" fontId="43" fillId="0" borderId="3" xfId="0" applyFont="1" applyFill="1" applyBorder="1"/>
    <xf numFmtId="42" fontId="7" fillId="0" borderId="0" xfId="3" applyNumberFormat="1" applyFont="1" applyFill="1" applyBorder="1"/>
    <xf numFmtId="42" fontId="9" fillId="0" borderId="0" xfId="3" applyNumberFormat="1" applyFont="1" applyFill="1" applyBorder="1"/>
    <xf numFmtId="42" fontId="7" fillId="0" borderId="4" xfId="3" applyNumberFormat="1" applyFont="1" applyFill="1" applyBorder="1"/>
    <xf numFmtId="42" fontId="68" fillId="0" borderId="0" xfId="3" applyNumberFormat="1" applyFont="1" applyFill="1" applyBorder="1"/>
    <xf numFmtId="42" fontId="7" fillId="0" borderId="0" xfId="0" applyNumberFormat="1" applyFont="1" applyBorder="1"/>
    <xf numFmtId="42" fontId="12" fillId="0" borderId="0" xfId="3" applyNumberFormat="1" applyFont="1" applyBorder="1"/>
    <xf numFmtId="42" fontId="11" fillId="0" borderId="0" xfId="3" applyNumberFormat="1" applyFont="1" applyBorder="1"/>
    <xf numFmtId="42" fontId="47" fillId="0" borderId="0" xfId="0" applyNumberFormat="1" applyFont="1" applyBorder="1"/>
    <xf numFmtId="42" fontId="47" fillId="0" borderId="0" xfId="3" applyNumberFormat="1" applyFont="1" applyFill="1" applyBorder="1"/>
    <xf numFmtId="42" fontId="11" fillId="0" borderId="0" xfId="3" applyNumberFormat="1" applyFont="1" applyFill="1" applyBorder="1" applyAlignment="1">
      <alignment vertical="top"/>
    </xf>
    <xf numFmtId="42" fontId="11" fillId="0" borderId="0" xfId="3" applyNumberFormat="1" applyFont="1" applyFill="1" applyBorder="1"/>
    <xf numFmtId="42" fontId="12" fillId="0" borderId="0" xfId="3" applyNumberFormat="1" applyFont="1" applyFill="1" applyBorder="1"/>
    <xf numFmtId="42" fontId="70" fillId="0" borderId="0" xfId="8" applyNumberFormat="1" applyFont="1" applyFill="1" applyBorder="1"/>
    <xf numFmtId="42" fontId="12" fillId="0" borderId="0" xfId="3" applyNumberFormat="1" applyFont="1" applyFill="1" applyBorder="1" applyAlignment="1">
      <alignment vertical="top"/>
    </xf>
    <xf numFmtId="42" fontId="70" fillId="0" borderId="0" xfId="8" applyNumberFormat="1" applyFont="1" applyFill="1" applyBorder="1" applyAlignment="1">
      <alignment vertical="top"/>
    </xf>
    <xf numFmtId="0" fontId="7" fillId="0" borderId="2" xfId="0" applyFont="1" applyFill="1" applyBorder="1"/>
    <xf numFmtId="0" fontId="0" fillId="0" borderId="0" xfId="0" applyFill="1" applyBorder="1" applyAlignment="1">
      <alignment vertical="top"/>
    </xf>
    <xf numFmtId="42" fontId="21" fillId="0" borderId="0" xfId="0" applyNumberFormat="1" applyFont="1" applyFill="1" applyBorder="1"/>
    <xf numFmtId="42" fontId="29" fillId="0" borderId="0" xfId="3" applyNumberFormat="1" applyFont="1" applyBorder="1"/>
    <xf numFmtId="42" fontId="32" fillId="0" borderId="0" xfId="3" applyNumberFormat="1" applyFont="1" applyBorder="1"/>
    <xf numFmtId="42" fontId="0" fillId="0" borderId="0" xfId="0" applyNumberFormat="1" applyBorder="1"/>
    <xf numFmtId="42" fontId="26" fillId="0" borderId="0" xfId="0" applyNumberFormat="1" applyFont="1" applyBorder="1"/>
    <xf numFmtId="42" fontId="29" fillId="0" borderId="0" xfId="0" applyNumberFormat="1" applyFont="1" applyBorder="1"/>
    <xf numFmtId="42" fontId="32" fillId="0" borderId="0" xfId="0" applyNumberFormat="1" applyFont="1" applyBorder="1"/>
    <xf numFmtId="42" fontId="42" fillId="0" borderId="0" xfId="0" applyNumberFormat="1" applyFont="1" applyBorder="1"/>
    <xf numFmtId="42" fontId="29" fillId="0" borderId="3" xfId="3" applyNumberFormat="1" applyFont="1" applyBorder="1"/>
    <xf numFmtId="42" fontId="0" fillId="0" borderId="4" xfId="0" applyNumberFormat="1" applyBorder="1"/>
    <xf numFmtId="42" fontId="0" fillId="0" borderId="2" xfId="0" applyNumberFormat="1" applyBorder="1"/>
    <xf numFmtId="42" fontId="42" fillId="0" borderId="0" xfId="0" applyNumberFormat="1" applyFont="1" applyBorder="1" applyAlignment="1">
      <alignment horizontal="right"/>
    </xf>
    <xf numFmtId="42" fontId="42" fillId="0" borderId="4" xfId="0" applyNumberFormat="1" applyFont="1" applyBorder="1" applyAlignment="1">
      <alignment horizontal="right"/>
    </xf>
    <xf numFmtId="42" fontId="42" fillId="0" borderId="0" xfId="3" applyNumberFormat="1" applyFont="1" applyBorder="1"/>
    <xf numFmtId="42" fontId="0" fillId="0" borderId="0" xfId="3" applyNumberFormat="1" applyFont="1"/>
    <xf numFmtId="42" fontId="0" fillId="0" borderId="0" xfId="1" applyNumberFormat="1" applyFont="1"/>
    <xf numFmtId="0" fontId="7" fillId="0" borderId="0" xfId="0" applyFont="1" applyFill="1" applyBorder="1" applyAlignment="1">
      <alignment vertical="top"/>
    </xf>
    <xf numFmtId="0" fontId="43" fillId="0" borderId="0" xfId="0" applyFont="1" applyFill="1" applyBorder="1" applyAlignment="1">
      <alignment horizontal="center"/>
    </xf>
    <xf numFmtId="0" fontId="43" fillId="0" borderId="1" xfId="0" applyFont="1" applyFill="1" applyBorder="1"/>
    <xf numFmtId="42" fontId="7" fillId="0" borderId="0" xfId="3" applyNumberFormat="1" applyFont="1" applyFill="1" applyBorder="1" applyAlignment="1">
      <alignment vertical="top"/>
    </xf>
    <xf numFmtId="0" fontId="13" fillId="0" borderId="0" xfId="0" applyFont="1" applyFill="1" applyBorder="1" applyAlignment="1">
      <alignment vertical="top"/>
    </xf>
    <xf numFmtId="0" fontId="34" fillId="3" borderId="6" xfId="0" applyFont="1" applyFill="1" applyBorder="1" applyAlignment="1"/>
    <xf numFmtId="37" fontId="0" fillId="3" borderId="2" xfId="3" applyNumberFormat="1" applyFont="1" applyFill="1" applyBorder="1"/>
    <xf numFmtId="44" fontId="0" fillId="3" borderId="2" xfId="1" applyNumberFormat="1" applyFont="1" applyFill="1" applyBorder="1"/>
    <xf numFmtId="44" fontId="0" fillId="3" borderId="7" xfId="1" applyNumberFormat="1" applyFont="1" applyFill="1" applyBorder="1"/>
    <xf numFmtId="0" fontId="32" fillId="3" borderId="6" xfId="0" applyFont="1" applyFill="1" applyBorder="1" applyAlignment="1">
      <alignment horizontal="left"/>
    </xf>
    <xf numFmtId="37" fontId="32" fillId="3" borderId="2" xfId="0" applyNumberFormat="1" applyFont="1" applyFill="1" applyBorder="1"/>
    <xf numFmtId="169" fontId="32" fillId="3" borderId="2" xfId="1" applyNumberFormat="1" applyFont="1" applyFill="1" applyBorder="1"/>
    <xf numFmtId="0" fontId="32" fillId="3" borderId="1" xfId="0" applyFont="1" applyFill="1" applyBorder="1" applyAlignment="1">
      <alignment horizontal="left"/>
    </xf>
    <xf numFmtId="37" fontId="32" fillId="3" borderId="0" xfId="0" applyNumberFormat="1" applyFont="1" applyFill="1" applyBorder="1"/>
    <xf numFmtId="169" fontId="32" fillId="3" borderId="0" xfId="1" applyNumberFormat="1" applyFont="1" applyFill="1" applyBorder="1"/>
    <xf numFmtId="0" fontId="32" fillId="3" borderId="10" xfId="0" applyFont="1" applyFill="1" applyBorder="1" applyAlignment="1">
      <alignment horizontal="left"/>
    </xf>
    <xf numFmtId="169" fontId="43" fillId="3" borderId="4" xfId="1" applyNumberFormat="1" applyFont="1" applyFill="1" applyBorder="1"/>
    <xf numFmtId="3" fontId="0" fillId="4" borderId="5" xfId="0" applyNumberFormat="1" applyFill="1" applyBorder="1" applyAlignment="1">
      <alignment horizontal="center"/>
    </xf>
    <xf numFmtId="3" fontId="0" fillId="4" borderId="12" xfId="0" applyNumberFormat="1" applyFill="1" applyBorder="1" applyAlignment="1">
      <alignment horizontal="center"/>
    </xf>
    <xf numFmtId="3" fontId="0" fillId="4" borderId="13" xfId="0" applyNumberFormat="1" applyFill="1" applyBorder="1" applyAlignment="1">
      <alignment horizontal="center"/>
    </xf>
    <xf numFmtId="0" fontId="59" fillId="0" borderId="0" xfId="0" applyFont="1" applyFill="1" applyBorder="1" applyAlignment="1">
      <alignment vertical="top"/>
    </xf>
    <xf numFmtId="0" fontId="59" fillId="0" borderId="3" xfId="0" applyFont="1" applyFill="1" applyBorder="1" applyAlignment="1">
      <alignment vertical="top"/>
    </xf>
    <xf numFmtId="0" fontId="7" fillId="0" borderId="0" xfId="0" applyFont="1" applyAlignment="1">
      <alignment vertical="top"/>
    </xf>
    <xf numFmtId="0" fontId="60" fillId="0" borderId="0" xfId="0" applyFont="1" applyFill="1" applyBorder="1" applyAlignment="1">
      <alignment vertical="top"/>
    </xf>
    <xf numFmtId="0" fontId="60" fillId="0" borderId="3" xfId="0" applyFont="1" applyFill="1" applyBorder="1" applyAlignment="1">
      <alignment vertical="top"/>
    </xf>
    <xf numFmtId="0" fontId="13" fillId="0" borderId="0" xfId="0" applyFont="1" applyAlignment="1">
      <alignment vertical="top"/>
    </xf>
    <xf numFmtId="10" fontId="29" fillId="0" borderId="0" xfId="8" applyNumberFormat="1" applyFont="1" applyBorder="1"/>
    <xf numFmtId="14" fontId="0" fillId="0" borderId="0" xfId="0" applyNumberFormat="1"/>
    <xf numFmtId="14" fontId="0" fillId="0" borderId="0" xfId="3" applyNumberFormat="1" applyFont="1"/>
    <xf numFmtId="42" fontId="0" fillId="0" borderId="0" xfId="0" applyNumberFormat="1"/>
    <xf numFmtId="42" fontId="26" fillId="0" borderId="0" xfId="0" applyNumberFormat="1" applyFont="1"/>
    <xf numFmtId="169" fontId="0" fillId="0" borderId="0" xfId="1" applyNumberFormat="1" applyFont="1" applyFill="1"/>
    <xf numFmtId="42" fontId="7" fillId="0" borderId="0" xfId="0" applyNumberFormat="1" applyFont="1" applyFill="1"/>
    <xf numFmtId="42" fontId="21" fillId="0" borderId="0" xfId="3" applyNumberFormat="1" applyFont="1" applyFill="1" applyBorder="1"/>
    <xf numFmtId="9" fontId="70" fillId="0" borderId="1" xfId="8" applyFont="1" applyFill="1" applyBorder="1"/>
    <xf numFmtId="44" fontId="46" fillId="0" borderId="4" xfId="3" applyFont="1" applyFill="1" applyBorder="1" applyAlignment="1">
      <alignment horizontal="center"/>
    </xf>
    <xf numFmtId="42" fontId="52" fillId="0" borderId="0" xfId="0" applyNumberFormat="1" applyFont="1" applyBorder="1" applyAlignment="1">
      <alignment horizontal="right"/>
    </xf>
    <xf numFmtId="0" fontId="2" fillId="5" borderId="6" xfId="0" applyFont="1" applyFill="1" applyBorder="1"/>
    <xf numFmtId="44" fontId="2" fillId="5" borderId="2" xfId="3" applyFont="1" applyFill="1" applyBorder="1"/>
    <xf numFmtId="44" fontId="37" fillId="5" borderId="2" xfId="3" applyFont="1" applyFill="1" applyBorder="1" applyAlignment="1">
      <alignment horizontal="right"/>
    </xf>
    <xf numFmtId="0" fontId="5" fillId="5" borderId="1" xfId="0" applyFont="1" applyFill="1" applyBorder="1" applyAlignment="1">
      <alignment horizontal="center"/>
    </xf>
    <xf numFmtId="0" fontId="4" fillId="5" borderId="2" xfId="0" applyFont="1" applyFill="1" applyBorder="1"/>
    <xf numFmtId="166" fontId="2" fillId="5" borderId="7" xfId="8" applyNumberFormat="1" applyFont="1" applyFill="1" applyBorder="1"/>
    <xf numFmtId="13" fontId="64" fillId="5" borderId="0" xfId="3" quotePrefix="1" applyNumberFormat="1" applyFont="1" applyFill="1" applyBorder="1" applyAlignment="1">
      <alignment horizontal="center"/>
    </xf>
    <xf numFmtId="166" fontId="64" fillId="5" borderId="3" xfId="8" applyNumberFormat="1" applyFont="1" applyFill="1" applyBorder="1" applyAlignment="1">
      <alignment horizontal="center"/>
    </xf>
    <xf numFmtId="0" fontId="2" fillId="5" borderId="5" xfId="0" applyFont="1" applyFill="1" applyBorder="1"/>
    <xf numFmtId="0" fontId="5" fillId="5" borderId="12" xfId="0" applyFont="1" applyFill="1" applyBorder="1" applyAlignment="1">
      <alignment horizontal="center"/>
    </xf>
    <xf numFmtId="0" fontId="5" fillId="5" borderId="13" xfId="0" applyFont="1" applyFill="1" applyBorder="1" applyAlignment="1">
      <alignment horizontal="center"/>
    </xf>
    <xf numFmtId="0" fontId="4" fillId="5" borderId="6" xfId="0" applyFont="1" applyFill="1" applyBorder="1"/>
    <xf numFmtId="0" fontId="4" fillId="5" borderId="7" xfId="0" applyFont="1" applyFill="1" applyBorder="1"/>
    <xf numFmtId="0" fontId="66" fillId="5" borderId="1" xfId="0" applyFont="1" applyFill="1" applyBorder="1"/>
    <xf numFmtId="0" fontId="66" fillId="5" borderId="10" xfId="0" applyFont="1" applyFill="1" applyBorder="1"/>
    <xf numFmtId="0" fontId="5" fillId="5" borderId="10" xfId="0" applyFont="1" applyFill="1" applyBorder="1" applyAlignment="1">
      <alignment horizontal="center"/>
    </xf>
    <xf numFmtId="44" fontId="74" fillId="5" borderId="7" xfId="0" applyNumberFormat="1" applyFont="1" applyFill="1" applyBorder="1" applyAlignment="1">
      <alignment horizontal="center"/>
    </xf>
    <xf numFmtId="0" fontId="64" fillId="5" borderId="3" xfId="0" applyFont="1" applyFill="1" applyBorder="1" applyAlignment="1">
      <alignment horizontal="center"/>
    </xf>
    <xf numFmtId="44" fontId="64" fillId="5" borderId="9" xfId="3" applyFont="1" applyFill="1" applyBorder="1" applyAlignment="1">
      <alignment horizontal="center"/>
    </xf>
    <xf numFmtId="44" fontId="8" fillId="0" borderId="14" xfId="0" applyNumberFormat="1" applyFont="1" applyBorder="1"/>
    <xf numFmtId="42" fontId="11" fillId="0" borderId="14" xfId="0" applyNumberFormat="1" applyFont="1" applyFill="1" applyBorder="1"/>
    <xf numFmtId="42" fontId="12" fillId="0" borderId="14" xfId="0" applyNumberFormat="1" applyFont="1" applyFill="1" applyBorder="1"/>
    <xf numFmtId="44" fontId="7" fillId="0" borderId="15" xfId="0" applyNumberFormat="1" applyFont="1" applyFill="1" applyBorder="1"/>
    <xf numFmtId="44" fontId="2" fillId="5" borderId="17" xfId="0" applyNumberFormat="1" applyFont="1" applyFill="1" applyBorder="1"/>
    <xf numFmtId="44" fontId="64" fillId="5" borderId="18" xfId="0" applyNumberFormat="1" applyFont="1" applyFill="1" applyBorder="1" applyAlignment="1">
      <alignment horizontal="center"/>
    </xf>
    <xf numFmtId="44" fontId="64" fillId="5" borderId="19" xfId="0" applyNumberFormat="1" applyFont="1" applyFill="1" applyBorder="1" applyAlignment="1">
      <alignment horizontal="center"/>
    </xf>
    <xf numFmtId="44" fontId="9" fillId="0" borderId="21" xfId="3" applyFont="1" applyBorder="1"/>
    <xf numFmtId="42" fontId="12" fillId="0" borderId="21" xfId="3" applyNumberFormat="1" applyFont="1" applyFill="1" applyBorder="1"/>
    <xf numFmtId="42" fontId="11" fillId="0" borderId="21" xfId="0" applyNumberFormat="1" applyFont="1" applyFill="1" applyBorder="1"/>
    <xf numFmtId="42" fontId="11" fillId="0" borderId="21" xfId="0" applyNumberFormat="1" applyFont="1" applyFill="1" applyBorder="1" applyAlignment="1">
      <alignment vertical="top"/>
    </xf>
    <xf numFmtId="42" fontId="12" fillId="0" borderId="21" xfId="0" applyNumberFormat="1" applyFont="1" applyFill="1" applyBorder="1"/>
    <xf numFmtId="0" fontId="7" fillId="0" borderId="22" xfId="0" applyFont="1" applyBorder="1"/>
    <xf numFmtId="164" fontId="3" fillId="5" borderId="5" xfId="3" applyNumberFormat="1" applyFont="1" applyFill="1" applyBorder="1" applyAlignment="1">
      <alignment horizontal="left"/>
    </xf>
    <xf numFmtId="0" fontId="7" fillId="5" borderId="0" xfId="0" applyFont="1" applyFill="1" applyBorder="1"/>
    <xf numFmtId="0" fontId="7" fillId="5" borderId="3" xfId="0" applyFont="1" applyFill="1" applyBorder="1"/>
    <xf numFmtId="0" fontId="7" fillId="5" borderId="4" xfId="0" applyFont="1" applyFill="1" applyBorder="1"/>
    <xf numFmtId="0" fontId="7" fillId="5" borderId="9" xfId="0" applyFont="1" applyFill="1" applyBorder="1"/>
    <xf numFmtId="44" fontId="2" fillId="5" borderId="16" xfId="0" applyNumberFormat="1" applyFont="1" applyFill="1" applyBorder="1"/>
    <xf numFmtId="44" fontId="64" fillId="5" borderId="14" xfId="0" applyNumberFormat="1" applyFont="1" applyFill="1" applyBorder="1" applyAlignment="1">
      <alignment horizontal="center"/>
    </xf>
    <xf numFmtId="44" fontId="64" fillId="5" borderId="15" xfId="0" applyNumberFormat="1" applyFont="1" applyFill="1" applyBorder="1" applyAlignment="1">
      <alignment horizontal="center"/>
    </xf>
    <xf numFmtId="44" fontId="19" fillId="0" borderId="15" xfId="0" applyNumberFormat="1" applyFont="1" applyBorder="1"/>
    <xf numFmtId="44" fontId="50" fillId="0" borderId="21" xfId="3" applyFont="1" applyFill="1" applyBorder="1"/>
    <xf numFmtId="42" fontId="47" fillId="0" borderId="21" xfId="0" applyNumberFormat="1" applyFont="1" applyFill="1" applyBorder="1"/>
    <xf numFmtId="42" fontId="50" fillId="0" borderId="21" xfId="0" applyNumberFormat="1" applyFont="1" applyFill="1" applyBorder="1"/>
    <xf numFmtId="42" fontId="70" fillId="0" borderId="21" xfId="8" applyNumberFormat="1" applyFont="1" applyFill="1" applyBorder="1" applyAlignment="1">
      <alignment vertical="top"/>
    </xf>
    <xf numFmtId="0" fontId="56" fillId="0" borderId="22" xfId="0" applyFont="1" applyBorder="1"/>
    <xf numFmtId="0" fontId="65" fillId="5" borderId="24" xfId="0" applyFont="1" applyFill="1" applyBorder="1" applyAlignment="1">
      <alignment horizontal="center"/>
    </xf>
    <xf numFmtId="44" fontId="65" fillId="5" borderId="25" xfId="3" quotePrefix="1" applyFont="1" applyFill="1" applyBorder="1" applyAlignment="1">
      <alignment horizontal="center"/>
    </xf>
    <xf numFmtId="44" fontId="2" fillId="5" borderId="6" xfId="3" applyFont="1" applyFill="1" applyBorder="1"/>
    <xf numFmtId="164" fontId="37" fillId="5" borderId="5" xfId="3" applyNumberFormat="1" applyFont="1" applyFill="1" applyBorder="1" applyAlignment="1">
      <alignment horizontal="left"/>
    </xf>
    <xf numFmtId="44" fontId="64" fillId="5" borderId="4" xfId="3" applyFont="1" applyFill="1" applyBorder="1" applyAlignment="1">
      <alignment horizontal="center"/>
    </xf>
    <xf numFmtId="42" fontId="48" fillId="0" borderId="14" xfId="0" applyNumberFormat="1" applyFont="1" applyFill="1" applyBorder="1"/>
    <xf numFmtId="42" fontId="47" fillId="0" borderId="21" xfId="3" applyNumberFormat="1" applyFont="1" applyFill="1" applyBorder="1"/>
    <xf numFmtId="42" fontId="70" fillId="0" borderId="21" xfId="8" applyNumberFormat="1" applyFont="1" applyFill="1" applyBorder="1"/>
    <xf numFmtId="44" fontId="64" fillId="5" borderId="12" xfId="3" applyFont="1" applyFill="1" applyBorder="1" applyAlignment="1">
      <alignment horizontal="center"/>
    </xf>
    <xf numFmtId="44" fontId="64" fillId="5" borderId="13" xfId="3" applyFont="1" applyFill="1" applyBorder="1" applyAlignment="1">
      <alignment horizontal="center"/>
    </xf>
    <xf numFmtId="164" fontId="38" fillId="5" borderId="5" xfId="3" applyNumberFormat="1" applyFont="1" applyFill="1" applyBorder="1" applyAlignment="1">
      <alignment horizontal="left"/>
    </xf>
    <xf numFmtId="0" fontId="36" fillId="5" borderId="7" xfId="0" applyFont="1" applyFill="1" applyBorder="1"/>
    <xf numFmtId="44" fontId="64" fillId="5" borderId="9" xfId="3" quotePrefix="1" applyFont="1" applyFill="1" applyBorder="1" applyAlignment="1">
      <alignment horizontal="center"/>
    </xf>
    <xf numFmtId="44" fontId="6" fillId="5" borderId="16" xfId="0" applyNumberFormat="1" applyFont="1" applyFill="1" applyBorder="1" applyAlignment="1">
      <alignment horizontal="center"/>
    </xf>
    <xf numFmtId="42" fontId="29" fillId="0" borderId="4" xfId="3" applyNumberFormat="1" applyFont="1" applyBorder="1"/>
    <xf numFmtId="42" fontId="29" fillId="0" borderId="2" xfId="3" applyNumberFormat="1" applyFont="1" applyBorder="1"/>
    <xf numFmtId="9" fontId="29" fillId="5" borderId="5" xfId="8" applyFont="1" applyFill="1" applyBorder="1"/>
    <xf numFmtId="9" fontId="64" fillId="5" borderId="12" xfId="8" applyFont="1" applyFill="1" applyBorder="1" applyAlignment="1">
      <alignment horizontal="center"/>
    </xf>
    <xf numFmtId="9" fontId="29" fillId="0" borderId="12" xfId="8" applyFont="1" applyBorder="1"/>
    <xf numFmtId="10" fontId="29" fillId="0" borderId="12" xfId="8" applyNumberFormat="1" applyFont="1" applyBorder="1"/>
    <xf numFmtId="10" fontId="32" fillId="0" borderId="12" xfId="8" applyNumberFormat="1" applyFont="1" applyBorder="1"/>
    <xf numFmtId="9" fontId="32" fillId="0" borderId="12" xfId="8" applyFont="1" applyBorder="1"/>
    <xf numFmtId="9" fontId="64" fillId="5" borderId="13" xfId="8" applyFont="1" applyFill="1" applyBorder="1" applyAlignment="1">
      <alignment horizontal="center"/>
    </xf>
    <xf numFmtId="42" fontId="21" fillId="0" borderId="14" xfId="0" applyNumberFormat="1" applyFont="1" applyBorder="1"/>
    <xf numFmtId="42" fontId="41" fillId="0" borderId="14" xfId="0" applyNumberFormat="1" applyFont="1" applyBorder="1"/>
    <xf numFmtId="42" fontId="43" fillId="0" borderId="14" xfId="0" applyNumberFormat="1" applyFont="1" applyBorder="1"/>
    <xf numFmtId="42" fontId="41" fillId="0" borderId="15" xfId="0" applyNumberFormat="1" applyFont="1" applyBorder="1"/>
    <xf numFmtId="42" fontId="63" fillId="0" borderId="14" xfId="0" applyNumberFormat="1" applyFont="1" applyBorder="1"/>
    <xf numFmtId="44" fontId="21" fillId="0" borderId="20" xfId="3" applyFont="1" applyBorder="1"/>
    <xf numFmtId="42" fontId="64" fillId="5" borderId="14" xfId="0" applyNumberFormat="1" applyFont="1" applyFill="1" applyBorder="1" applyAlignment="1">
      <alignment horizontal="center"/>
    </xf>
    <xf numFmtId="42" fontId="64" fillId="5" borderId="15" xfId="0" applyNumberFormat="1" applyFont="1" applyFill="1" applyBorder="1" applyAlignment="1">
      <alignment horizontal="center"/>
    </xf>
    <xf numFmtId="44" fontId="73" fillId="5" borderId="5" xfId="0" applyNumberFormat="1" applyFont="1" applyFill="1" applyBorder="1" applyAlignment="1">
      <alignment horizontal="center"/>
    </xf>
    <xf numFmtId="0" fontId="2" fillId="5" borderId="12" xfId="0" applyFont="1" applyFill="1" applyBorder="1"/>
    <xf numFmtId="44" fontId="5" fillId="5" borderId="5" xfId="3" applyFont="1" applyFill="1" applyBorder="1" applyAlignment="1">
      <alignment horizontal="center"/>
    </xf>
    <xf numFmtId="44" fontId="5" fillId="5" borderId="12" xfId="3" applyFont="1" applyFill="1" applyBorder="1" applyAlignment="1">
      <alignment horizontal="center"/>
    </xf>
    <xf numFmtId="16" fontId="31" fillId="5" borderId="12" xfId="0" applyNumberFormat="1" applyFont="1" applyFill="1" applyBorder="1" applyAlignment="1">
      <alignment horizontal="center"/>
    </xf>
    <xf numFmtId="16" fontId="31" fillId="5" borderId="13" xfId="0" applyNumberFormat="1" applyFont="1" applyFill="1" applyBorder="1" applyAlignment="1">
      <alignment horizontal="center"/>
    </xf>
    <xf numFmtId="42" fontId="11" fillId="0" borderId="0" xfId="0" applyNumberFormat="1" applyFont="1" applyFill="1" applyBorder="1" applyAlignment="1">
      <alignment vertical="top"/>
    </xf>
    <xf numFmtId="0" fontId="66" fillId="0" borderId="6" xfId="0" applyFont="1" applyBorder="1"/>
    <xf numFmtId="42" fontId="12" fillId="0" borderId="0" xfId="0" applyNumberFormat="1" applyFont="1" applyFill="1" applyBorder="1" applyAlignment="1">
      <alignment vertical="top"/>
    </xf>
    <xf numFmtId="0" fontId="0" fillId="0" borderId="0" xfId="0" applyAlignment="1">
      <alignment horizontal="center"/>
    </xf>
    <xf numFmtId="169" fontId="32" fillId="3" borderId="7" xfId="0" applyNumberFormat="1" applyFont="1" applyFill="1" applyBorder="1"/>
    <xf numFmtId="169" fontId="32" fillId="3" borderId="3" xfId="0" applyNumberFormat="1" applyFont="1" applyFill="1" applyBorder="1"/>
    <xf numFmtId="37" fontId="32" fillId="3" borderId="4" xfId="0" applyNumberFormat="1" applyFont="1" applyFill="1" applyBorder="1"/>
    <xf numFmtId="169" fontId="43" fillId="3" borderId="9" xfId="0" applyNumberFormat="1" applyFont="1" applyFill="1" applyBorder="1"/>
    <xf numFmtId="0" fontId="7" fillId="0" borderId="6" xfId="0" applyFont="1" applyBorder="1"/>
    <xf numFmtId="42" fontId="13" fillId="0" borderId="1" xfId="0" applyNumberFormat="1" applyFont="1" applyFill="1" applyBorder="1"/>
    <xf numFmtId="42" fontId="7" fillId="0" borderId="21" xfId="0" applyNumberFormat="1" applyFont="1" applyFill="1" applyBorder="1"/>
    <xf numFmtId="0" fontId="12" fillId="0" borderId="0" xfId="0" applyFont="1" applyFill="1" applyBorder="1" applyAlignment="1">
      <alignment vertical="top"/>
    </xf>
    <xf numFmtId="0" fontId="5" fillId="5" borderId="6" xfId="0" applyFont="1" applyFill="1" applyBorder="1" applyAlignment="1">
      <alignment horizontal="center"/>
    </xf>
    <xf numFmtId="44" fontId="37" fillId="5" borderId="7" xfId="3" applyFont="1" applyFill="1" applyBorder="1" applyAlignment="1">
      <alignment horizontal="right"/>
    </xf>
    <xf numFmtId="44" fontId="64" fillId="5" borderId="1" xfId="3" quotePrefix="1" applyNumberFormat="1" applyFont="1" applyFill="1" applyBorder="1" applyAlignment="1">
      <alignment horizontal="center"/>
    </xf>
    <xf numFmtId="13" fontId="64" fillId="5" borderId="3" xfId="3" quotePrefix="1" applyNumberFormat="1" applyFont="1" applyFill="1" applyBorder="1" applyAlignment="1">
      <alignment horizontal="center"/>
    </xf>
    <xf numFmtId="44" fontId="64" fillId="5" borderId="10" xfId="3" applyFont="1" applyFill="1" applyBorder="1" applyAlignment="1">
      <alignment horizontal="center"/>
    </xf>
    <xf numFmtId="0" fontId="30" fillId="5" borderId="12" xfId="0" applyFont="1" applyFill="1" applyBorder="1"/>
    <xf numFmtId="0" fontId="30" fillId="5" borderId="13" xfId="0" applyFont="1" applyFill="1" applyBorder="1"/>
    <xf numFmtId="0" fontId="31" fillId="5" borderId="12" xfId="0" applyFont="1" applyFill="1" applyBorder="1" applyAlignment="1">
      <alignment horizontal="center"/>
    </xf>
    <xf numFmtId="0" fontId="31" fillId="5" borderId="13" xfId="0" applyFont="1" applyFill="1" applyBorder="1" applyAlignment="1">
      <alignment horizontal="center"/>
    </xf>
    <xf numFmtId="166" fontId="5" fillId="5" borderId="5" xfId="8" applyNumberFormat="1" applyFont="1" applyFill="1" applyBorder="1" applyAlignment="1">
      <alignment horizontal="center"/>
    </xf>
    <xf numFmtId="166" fontId="5" fillId="5" borderId="12" xfId="8" applyNumberFormat="1" applyFont="1" applyFill="1" applyBorder="1" applyAlignment="1">
      <alignment horizontal="center"/>
    </xf>
    <xf numFmtId="166" fontId="31" fillId="5" borderId="12" xfId="8" applyNumberFormat="1" applyFont="1" applyFill="1" applyBorder="1" applyAlignment="1">
      <alignment horizontal="center"/>
    </xf>
    <xf numFmtId="166" fontId="31" fillId="5" borderId="13" xfId="8" applyNumberFormat="1" applyFont="1" applyFill="1" applyBorder="1" applyAlignment="1">
      <alignment horizontal="center"/>
    </xf>
    <xf numFmtId="13" fontId="5" fillId="5" borderId="5" xfId="3" applyNumberFormat="1" applyFont="1" applyFill="1" applyBorder="1" applyAlignment="1">
      <alignment horizontal="center"/>
    </xf>
    <xf numFmtId="167" fontId="5" fillId="5" borderId="5" xfId="3" applyNumberFormat="1" applyFont="1" applyFill="1" applyBorder="1" applyAlignment="1">
      <alignment horizontal="center"/>
    </xf>
    <xf numFmtId="167" fontId="5" fillId="5" borderId="12" xfId="3" applyNumberFormat="1" applyFont="1" applyFill="1" applyBorder="1" applyAlignment="1">
      <alignment horizontal="center"/>
    </xf>
    <xf numFmtId="167" fontId="31" fillId="5" borderId="12" xfId="0" applyNumberFormat="1" applyFont="1" applyFill="1" applyBorder="1" applyAlignment="1">
      <alignment horizontal="center"/>
    </xf>
    <xf numFmtId="167" fontId="31" fillId="5" borderId="13" xfId="0" applyNumberFormat="1" applyFont="1" applyFill="1" applyBorder="1" applyAlignment="1">
      <alignment horizontal="center"/>
    </xf>
    <xf numFmtId="9" fontId="5" fillId="5" borderId="5" xfId="8" applyFont="1" applyFill="1" applyBorder="1" applyAlignment="1">
      <alignment horizontal="center"/>
    </xf>
    <xf numFmtId="9" fontId="5" fillId="5" borderId="12" xfId="8" applyFont="1" applyFill="1" applyBorder="1" applyAlignment="1">
      <alignment horizontal="center"/>
    </xf>
    <xf numFmtId="166" fontId="5" fillId="5" borderId="2" xfId="8" applyNumberFormat="1" applyFont="1" applyFill="1" applyBorder="1" applyAlignment="1">
      <alignment horizontal="center"/>
    </xf>
    <xf numFmtId="13" fontId="5" fillId="5" borderId="7" xfId="3" applyNumberFormat="1" applyFont="1" applyFill="1" applyBorder="1" applyAlignment="1">
      <alignment horizontal="center"/>
    </xf>
    <xf numFmtId="166" fontId="5" fillId="5" borderId="0" xfId="8" applyNumberFormat="1" applyFont="1" applyFill="1" applyBorder="1" applyAlignment="1">
      <alignment horizontal="center"/>
    </xf>
    <xf numFmtId="44" fontId="5" fillId="5" borderId="3" xfId="3" applyFont="1" applyFill="1" applyBorder="1" applyAlignment="1">
      <alignment horizontal="center"/>
    </xf>
    <xf numFmtId="0" fontId="30" fillId="5" borderId="10" xfId="0" applyFont="1" applyFill="1" applyBorder="1"/>
    <xf numFmtId="166" fontId="31" fillId="5" borderId="4" xfId="8" applyNumberFormat="1" applyFont="1" applyFill="1" applyBorder="1" applyAlignment="1">
      <alignment horizontal="center"/>
    </xf>
    <xf numFmtId="0" fontId="31" fillId="5" borderId="9" xfId="0" applyFont="1" applyFill="1" applyBorder="1" applyAlignment="1">
      <alignment horizontal="center"/>
    </xf>
    <xf numFmtId="44" fontId="5" fillId="5" borderId="7" xfId="3" applyFont="1" applyFill="1" applyBorder="1" applyAlignment="1">
      <alignment horizontal="center"/>
    </xf>
    <xf numFmtId="42" fontId="7" fillId="0" borderId="1" xfId="0" applyNumberFormat="1" applyFont="1" applyFill="1" applyBorder="1" applyAlignment="1">
      <alignment vertical="top"/>
    </xf>
    <xf numFmtId="42" fontId="7" fillId="0" borderId="21" xfId="0" applyNumberFormat="1" applyFont="1" applyFill="1" applyBorder="1" applyAlignment="1">
      <alignment vertical="top"/>
    </xf>
    <xf numFmtId="0" fontId="43" fillId="0" borderId="0" xfId="0" applyFont="1" applyFill="1" applyBorder="1" applyAlignment="1">
      <alignment vertical="top"/>
    </xf>
    <xf numFmtId="0" fontId="43" fillId="0" borderId="3" xfId="0" applyFont="1" applyFill="1" applyBorder="1" applyAlignment="1">
      <alignment vertical="top"/>
    </xf>
    <xf numFmtId="42" fontId="11" fillId="0" borderId="0" xfId="0" applyNumberFormat="1" applyFont="1" applyFill="1" applyBorder="1"/>
    <xf numFmtId="42" fontId="12" fillId="0" borderId="0" xfId="0" applyNumberFormat="1" applyFont="1" applyFill="1" applyBorder="1"/>
    <xf numFmtId="0" fontId="7" fillId="0" borderId="7" xfId="0" applyFont="1" applyBorder="1"/>
    <xf numFmtId="42" fontId="7" fillId="0" borderId="0" xfId="0" applyNumberFormat="1" applyFont="1" applyFill="1" applyBorder="1"/>
    <xf numFmtId="42" fontId="8" fillId="0" borderId="0" xfId="0" applyNumberFormat="1" applyFont="1" applyFill="1" applyBorder="1"/>
    <xf numFmtId="44" fontId="67" fillId="0" borderId="20" xfId="3" applyFont="1" applyBorder="1"/>
    <xf numFmtId="42" fontId="11" fillId="0" borderId="0" xfId="0" applyNumberFormat="1" applyFont="1" applyBorder="1"/>
    <xf numFmtId="42" fontId="11" fillId="0" borderId="26" xfId="3" applyNumberFormat="1" applyFont="1" applyFill="1" applyBorder="1" applyAlignment="1">
      <alignment vertical="top"/>
    </xf>
    <xf numFmtId="42" fontId="11" fillId="0" borderId="26" xfId="3" applyNumberFormat="1" applyFont="1" applyFill="1" applyBorder="1"/>
    <xf numFmtId="42" fontId="12" fillId="0" borderId="26" xfId="3" applyNumberFormat="1" applyFont="1" applyFill="1" applyBorder="1"/>
    <xf numFmtId="42" fontId="7" fillId="0" borderId="26" xfId="3" applyNumberFormat="1" applyFont="1" applyFill="1" applyBorder="1"/>
    <xf numFmtId="42" fontId="9" fillId="0" borderId="26" xfId="3" applyNumberFormat="1" applyFont="1" applyFill="1" applyBorder="1"/>
    <xf numFmtId="42" fontId="12" fillId="0" borderId="26" xfId="3" applyNumberFormat="1" applyFont="1" applyFill="1" applyBorder="1" applyAlignment="1">
      <alignment vertical="top"/>
    </xf>
    <xf numFmtId="42" fontId="70" fillId="0" borderId="26" xfId="8" applyNumberFormat="1" applyFont="1" applyFill="1" applyBorder="1" applyAlignment="1">
      <alignment vertical="top"/>
    </xf>
    <xf numFmtId="42" fontId="47" fillId="0" borderId="26" xfId="3" applyNumberFormat="1" applyFont="1" applyFill="1" applyBorder="1"/>
    <xf numFmtId="42" fontId="70" fillId="0" borderId="26" xfId="8" applyNumberFormat="1" applyFont="1" applyFill="1" applyBorder="1"/>
    <xf numFmtId="42" fontId="7" fillId="0" borderId="26" xfId="3" applyNumberFormat="1" applyFont="1" applyFill="1" applyBorder="1" applyAlignment="1">
      <alignment vertical="top"/>
    </xf>
    <xf numFmtId="42" fontId="68" fillId="0" borderId="26" xfId="8" applyNumberFormat="1" applyFont="1" applyFill="1" applyBorder="1"/>
    <xf numFmtId="42" fontId="29" fillId="0" borderId="27" xfId="3" applyNumberFormat="1" applyFont="1" applyBorder="1"/>
    <xf numFmtId="42" fontId="29" fillId="0" borderId="26" xfId="3" applyNumberFormat="1" applyFont="1" applyBorder="1"/>
    <xf numFmtId="42" fontId="32" fillId="0" borderId="26" xfId="3" applyNumberFormat="1" applyFont="1" applyBorder="1"/>
    <xf numFmtId="42" fontId="29" fillId="0" borderId="26" xfId="0" applyNumberFormat="1" applyFont="1" applyBorder="1"/>
    <xf numFmtId="42" fontId="32" fillId="0" borderId="26" xfId="0" applyNumberFormat="1" applyFont="1" applyBorder="1"/>
    <xf numFmtId="42" fontId="42" fillId="0" borderId="26" xfId="0" applyNumberFormat="1" applyFont="1" applyBorder="1"/>
    <xf numFmtId="42" fontId="42" fillId="6" borderId="28" xfId="0" applyNumberFormat="1" applyFont="1" applyFill="1" applyBorder="1"/>
    <xf numFmtId="0" fontId="21" fillId="0" borderId="0" xfId="0" applyFont="1" applyFill="1" applyBorder="1" applyAlignment="1">
      <alignment horizontal="left"/>
    </xf>
    <xf numFmtId="42" fontId="7" fillId="0" borderId="21" xfId="3" applyNumberFormat="1" applyFont="1" applyFill="1" applyBorder="1"/>
    <xf numFmtId="42" fontId="9" fillId="0" borderId="21" xfId="0" applyNumberFormat="1" applyFont="1" applyFill="1" applyBorder="1"/>
    <xf numFmtId="44" fontId="64" fillId="5" borderId="3" xfId="3" applyFont="1" applyFill="1" applyBorder="1" applyAlignment="1">
      <alignment horizontal="center"/>
    </xf>
    <xf numFmtId="44" fontId="64" fillId="5" borderId="0" xfId="3" applyFont="1" applyFill="1" applyBorder="1" applyAlignment="1">
      <alignment horizontal="center"/>
    </xf>
    <xf numFmtId="44" fontId="7" fillId="0" borderId="2" xfId="0" applyNumberFormat="1" applyFont="1" applyBorder="1"/>
    <xf numFmtId="0" fontId="34" fillId="7" borderId="6" xfId="0" applyFont="1" applyFill="1" applyBorder="1"/>
    <xf numFmtId="0" fontId="45" fillId="7" borderId="2" xfId="0" applyFont="1" applyFill="1" applyBorder="1"/>
    <xf numFmtId="0" fontId="45" fillId="7" borderId="7" xfId="0" applyFont="1" applyFill="1" applyBorder="1"/>
    <xf numFmtId="42" fontId="7" fillId="0" borderId="1" xfId="0" applyNumberFormat="1" applyFont="1" applyFill="1" applyBorder="1"/>
    <xf numFmtId="44" fontId="58" fillId="0" borderId="0" xfId="3" applyFont="1" applyBorder="1" applyAlignment="1"/>
    <xf numFmtId="0" fontId="58" fillId="0" borderId="0" xfId="0" applyFont="1" applyFill="1" applyBorder="1" applyAlignment="1">
      <alignment horizontal="left"/>
    </xf>
    <xf numFmtId="0" fontId="58" fillId="0" borderId="0" xfId="0" applyFont="1" applyBorder="1" applyAlignment="1"/>
    <xf numFmtId="42" fontId="68" fillId="0" borderId="1" xfId="8" applyNumberFormat="1" applyFont="1" applyFill="1" applyBorder="1"/>
    <xf numFmtId="0" fontId="78" fillId="0" borderId="0" xfId="0" applyFont="1" applyFill="1" applyAlignment="1">
      <alignment horizontal="center"/>
    </xf>
    <xf numFmtId="44" fontId="43" fillId="0" borderId="0" xfId="0" applyNumberFormat="1" applyFont="1" applyFill="1" applyBorder="1"/>
    <xf numFmtId="0" fontId="43" fillId="0" borderId="0" xfId="0" applyFont="1" applyFill="1" applyBorder="1" applyAlignment="1">
      <alignment horizontal="right"/>
    </xf>
    <xf numFmtId="0" fontId="43" fillId="0" borderId="0" xfId="0" applyFont="1" applyFill="1" applyBorder="1" applyAlignment="1">
      <alignment horizontal="right" vertical="top"/>
    </xf>
    <xf numFmtId="44" fontId="43" fillId="0" borderId="0" xfId="0" applyNumberFormat="1" applyFont="1" applyFill="1" applyBorder="1" applyAlignment="1">
      <alignment vertical="top"/>
    </xf>
    <xf numFmtId="9" fontId="63" fillId="0" borderId="0" xfId="8" applyFont="1" applyFill="1" applyBorder="1" applyAlignment="1">
      <alignment horizontal="right" vertical="top"/>
    </xf>
    <xf numFmtId="9" fontId="63" fillId="0" borderId="0" xfId="8" applyFont="1" applyFill="1" applyBorder="1" applyAlignment="1">
      <alignment vertical="top"/>
    </xf>
    <xf numFmtId="44" fontId="40" fillId="0" borderId="0" xfId="3" applyFont="1" applyFill="1" applyBorder="1" applyAlignment="1">
      <alignment horizontal="center"/>
    </xf>
    <xf numFmtId="0" fontId="11" fillId="0" borderId="0" xfId="0" applyFont="1" applyAlignment="1">
      <alignment horizontal="center"/>
    </xf>
    <xf numFmtId="10" fontId="11" fillId="0" borderId="0" xfId="8" applyNumberFormat="1" applyFont="1" applyFill="1" applyBorder="1" applyAlignment="1">
      <alignment horizontal="right" vertical="top"/>
    </xf>
    <xf numFmtId="10" fontId="11" fillId="0" borderId="0" xfId="8" applyNumberFormat="1" applyFont="1" applyFill="1" applyBorder="1" applyAlignment="1">
      <alignment horizontal="right"/>
    </xf>
    <xf numFmtId="41" fontId="0" fillId="0" borderId="0" xfId="0" applyNumberFormat="1"/>
    <xf numFmtId="42" fontId="79" fillId="0" borderId="26" xfId="3" applyNumberFormat="1" applyFont="1" applyFill="1" applyBorder="1"/>
    <xf numFmtId="42" fontId="68" fillId="0" borderId="0" xfId="8" applyNumberFormat="1" applyFont="1" applyFill="1" applyBorder="1"/>
    <xf numFmtId="42" fontId="68" fillId="0" borderId="21" xfId="8" applyNumberFormat="1" applyFont="1" applyFill="1" applyBorder="1"/>
    <xf numFmtId="44" fontId="7" fillId="0" borderId="6" xfId="0" applyNumberFormat="1" applyFont="1" applyBorder="1"/>
    <xf numFmtId="44" fontId="8" fillId="0" borderId="1" xfId="0" applyNumberFormat="1" applyFont="1" applyFill="1" applyBorder="1"/>
    <xf numFmtId="44" fontId="7" fillId="0" borderId="1" xfId="0" applyNumberFormat="1" applyFont="1" applyFill="1" applyBorder="1"/>
    <xf numFmtId="42" fontId="8" fillId="0" borderId="1" xfId="0" applyNumberFormat="1" applyFont="1" applyFill="1" applyBorder="1"/>
    <xf numFmtId="44" fontId="7" fillId="0" borderId="10" xfId="0" applyNumberFormat="1" applyFont="1" applyFill="1" applyBorder="1"/>
    <xf numFmtId="44" fontId="7" fillId="0" borderId="20" xfId="3" applyFont="1" applyBorder="1"/>
    <xf numFmtId="42" fontId="9" fillId="0" borderId="21" xfId="3" applyNumberFormat="1" applyFont="1" applyFill="1" applyBorder="1"/>
    <xf numFmtId="0" fontId="7" fillId="0" borderId="22" xfId="0" applyFont="1" applyFill="1" applyBorder="1"/>
    <xf numFmtId="0" fontId="68" fillId="0" borderId="1" xfId="0" applyFont="1" applyFill="1" applyBorder="1"/>
    <xf numFmtId="0" fontId="7" fillId="0" borderId="10" xfId="0" applyFont="1" applyFill="1" applyBorder="1"/>
    <xf numFmtId="42" fontId="7" fillId="0" borderId="27" xfId="3" applyNumberFormat="1" applyFont="1" applyFill="1" applyBorder="1" applyAlignment="1"/>
    <xf numFmtId="44" fontId="9" fillId="0" borderId="29" xfId="3" applyFont="1" applyBorder="1"/>
    <xf numFmtId="0" fontId="0" fillId="0" borderId="0" xfId="0" applyFill="1" applyBorder="1" applyAlignment="1">
      <alignment horizontal="left"/>
    </xf>
    <xf numFmtId="0" fontId="0" fillId="0" borderId="0" xfId="0" applyFill="1" applyBorder="1" applyAlignment="1">
      <alignment horizontal="center"/>
    </xf>
    <xf numFmtId="44" fontId="5" fillId="0" borderId="0" xfId="3" applyFont="1" applyFill="1" applyBorder="1" applyAlignment="1">
      <alignment horizontal="center"/>
    </xf>
    <xf numFmtId="166" fontId="5" fillId="0" borderId="0" xfId="8" applyNumberFormat="1" applyFont="1" applyFill="1" applyBorder="1" applyAlignment="1">
      <alignment horizontal="center"/>
    </xf>
    <xf numFmtId="0" fontId="29" fillId="0" borderId="0" xfId="0" applyFont="1" applyAlignment="1">
      <alignment horizontal="left"/>
    </xf>
    <xf numFmtId="165" fontId="80" fillId="0" borderId="0" xfId="0" applyNumberFormat="1" applyFont="1" applyFill="1" applyAlignment="1">
      <alignment horizontal="center"/>
    </xf>
    <xf numFmtId="0" fontId="81" fillId="0" borderId="0" xfId="0" applyFont="1" applyFill="1" applyAlignment="1">
      <alignment horizontal="center"/>
    </xf>
    <xf numFmtId="0" fontId="7" fillId="0" borderId="30" xfId="0" applyFont="1" applyFill="1" applyBorder="1" applyAlignment="1">
      <alignment vertical="top"/>
    </xf>
    <xf numFmtId="42" fontId="7" fillId="0" borderId="30" xfId="0" applyNumberFormat="1" applyFont="1" applyFill="1" applyBorder="1" applyAlignment="1">
      <alignment vertical="top"/>
    </xf>
    <xf numFmtId="42" fontId="7" fillId="0" borderId="11" xfId="0" applyNumberFormat="1" applyFont="1" applyFill="1" applyBorder="1" applyAlignment="1">
      <alignment vertical="top"/>
    </xf>
    <xf numFmtId="42" fontId="7" fillId="0" borderId="31" xfId="3" applyNumberFormat="1" applyFont="1" applyFill="1" applyBorder="1" applyAlignment="1">
      <alignment vertical="top"/>
    </xf>
    <xf numFmtId="0" fontId="11" fillId="0" borderId="30" xfId="0" applyFont="1" applyFill="1" applyBorder="1" applyAlignment="1">
      <alignment vertical="top"/>
    </xf>
    <xf numFmtId="42" fontId="11" fillId="0" borderId="11" xfId="0" applyNumberFormat="1" applyFont="1" applyFill="1" applyBorder="1" applyAlignment="1">
      <alignment vertical="top"/>
    </xf>
    <xf numFmtId="42" fontId="11" fillId="0" borderId="31" xfId="3" applyNumberFormat="1" applyFont="1" applyFill="1" applyBorder="1" applyAlignment="1">
      <alignment vertical="top"/>
    </xf>
    <xf numFmtId="42" fontId="11" fillId="0" borderId="32" xfId="3" applyNumberFormat="1" applyFont="1" applyFill="1" applyBorder="1" applyAlignment="1">
      <alignment vertical="top"/>
    </xf>
    <xf numFmtId="10" fontId="11" fillId="0" borderId="31" xfId="8" applyNumberFormat="1" applyFont="1" applyFill="1" applyBorder="1" applyAlignment="1">
      <alignment horizontal="right" vertical="top"/>
    </xf>
    <xf numFmtId="42" fontId="11" fillId="0" borderId="31" xfId="0" applyNumberFormat="1" applyFont="1" applyFill="1" applyBorder="1" applyAlignment="1">
      <alignment vertical="top"/>
    </xf>
    <xf numFmtId="44" fontId="52" fillId="0" borderId="0" xfId="0" applyNumberFormat="1" applyFont="1" applyFill="1" applyBorder="1" applyAlignment="1">
      <alignment horizontal="right"/>
    </xf>
    <xf numFmtId="0" fontId="52" fillId="0" borderId="0" xfId="0" applyFont="1" applyFill="1" applyBorder="1" applyAlignment="1">
      <alignment horizontal="right"/>
    </xf>
    <xf numFmtId="9" fontId="7" fillId="0" borderId="0" xfId="8" applyFont="1" applyFill="1" applyBorder="1"/>
    <xf numFmtId="0" fontId="52" fillId="0" borderId="0" xfId="0" applyFont="1" applyFill="1" applyBorder="1"/>
    <xf numFmtId="44" fontId="52" fillId="0" borderId="0" xfId="0" applyNumberFormat="1" applyFont="1" applyFill="1" applyBorder="1"/>
    <xf numFmtId="44" fontId="7" fillId="0" borderId="0" xfId="0" applyNumberFormat="1" applyFont="1" applyFill="1" applyBorder="1" applyAlignment="1">
      <alignment horizontal="right"/>
    </xf>
    <xf numFmtId="44" fontId="7" fillId="0" borderId="0" xfId="3" applyFont="1" applyFill="1" applyBorder="1" applyAlignment="1">
      <alignment horizontal="right"/>
    </xf>
    <xf numFmtId="0" fontId="22" fillId="0" borderId="0" xfId="0" applyFont="1" applyFill="1" applyBorder="1" applyAlignment="1">
      <alignment horizontal="right"/>
    </xf>
    <xf numFmtId="44" fontId="22" fillId="0" borderId="0" xfId="0" applyNumberFormat="1" applyFont="1" applyFill="1" applyBorder="1" applyAlignment="1">
      <alignment horizontal="right"/>
    </xf>
    <xf numFmtId="44" fontId="22" fillId="0" borderId="0" xfId="0" applyNumberFormat="1" applyFont="1" applyFill="1" applyBorder="1"/>
    <xf numFmtId="43" fontId="53" fillId="0" borderId="0" xfId="0" applyNumberFormat="1" applyFont="1" applyFill="1" applyBorder="1" applyAlignment="1">
      <alignment horizontal="right"/>
    </xf>
    <xf numFmtId="44" fontId="53" fillId="0" borderId="0" xfId="0" applyNumberFormat="1" applyFont="1" applyFill="1" applyBorder="1" applyAlignment="1">
      <alignment horizontal="right"/>
    </xf>
    <xf numFmtId="44" fontId="7" fillId="0" borderId="0" xfId="3" applyNumberFormat="1" applyFont="1" applyFill="1" applyBorder="1"/>
    <xf numFmtId="0" fontId="18" fillId="0" borderId="1" xfId="0" applyFont="1" applyFill="1" applyBorder="1" applyAlignment="1">
      <alignment vertical="top"/>
    </xf>
    <xf numFmtId="0" fontId="18" fillId="0" borderId="34" xfId="0" applyFont="1" applyFill="1" applyBorder="1" applyAlignment="1">
      <alignment vertical="top"/>
    </xf>
    <xf numFmtId="0" fontId="22" fillId="0" borderId="1" xfId="0" applyFont="1" applyFill="1" applyBorder="1"/>
    <xf numFmtId="0" fontId="11" fillId="0" borderId="1" xfId="0" applyFont="1" applyBorder="1" applyAlignment="1">
      <alignment horizontal="right"/>
    </xf>
    <xf numFmtId="0" fontId="7" fillId="0" borderId="1" xfId="0" applyFont="1" applyBorder="1" applyAlignment="1">
      <alignment horizontal="right"/>
    </xf>
    <xf numFmtId="0" fontId="19" fillId="0" borderId="10" xfId="0" applyFont="1" applyBorder="1" applyAlignment="1">
      <alignment horizontal="right"/>
    </xf>
    <xf numFmtId="42" fontId="12" fillId="0" borderId="35" xfId="0" applyNumberFormat="1" applyFont="1" applyFill="1" applyBorder="1"/>
    <xf numFmtId="42" fontId="11" fillId="0" borderId="8" xfId="0" applyNumberFormat="1" applyFont="1" applyFill="1" applyBorder="1"/>
    <xf numFmtId="42" fontId="11" fillId="0" borderId="36" xfId="3" applyNumberFormat="1" applyFont="1" applyFill="1" applyBorder="1"/>
    <xf numFmtId="42" fontId="11" fillId="0" borderId="37" xfId="3" applyNumberFormat="1" applyFont="1" applyFill="1" applyBorder="1"/>
    <xf numFmtId="42" fontId="11" fillId="0" borderId="36" xfId="3" applyNumberFormat="1" applyFont="1" applyBorder="1"/>
    <xf numFmtId="42" fontId="14" fillId="0" borderId="35" xfId="0" applyNumberFormat="1" applyFont="1" applyFill="1" applyBorder="1"/>
    <xf numFmtId="42" fontId="14" fillId="0" borderId="8" xfId="0" applyNumberFormat="1" applyFont="1" applyFill="1" applyBorder="1"/>
    <xf numFmtId="42" fontId="14" fillId="0" borderId="36" xfId="3" applyNumberFormat="1" applyFont="1" applyFill="1" applyBorder="1"/>
    <xf numFmtId="42" fontId="14" fillId="0" borderId="37" xfId="3" applyNumberFormat="1" applyFont="1" applyFill="1" applyBorder="1"/>
    <xf numFmtId="42" fontId="14" fillId="0" borderId="36" xfId="3" applyNumberFormat="1" applyFont="1" applyBorder="1"/>
    <xf numFmtId="42" fontId="14" fillId="0" borderId="38" xfId="0" applyNumberFormat="1" applyFont="1" applyFill="1" applyBorder="1"/>
    <xf numFmtId="42" fontId="14" fillId="0" borderId="39" xfId="0" applyNumberFormat="1" applyFont="1" applyFill="1" applyBorder="1"/>
    <xf numFmtId="42" fontId="14" fillId="0" borderId="40" xfId="3" applyNumberFormat="1" applyFont="1" applyFill="1" applyBorder="1"/>
    <xf numFmtId="42" fontId="14" fillId="0" borderId="41" xfId="3" applyNumberFormat="1" applyFont="1" applyFill="1" applyBorder="1"/>
    <xf numFmtId="42" fontId="14" fillId="0" borderId="40" xfId="3" applyNumberFormat="1" applyFont="1" applyBorder="1"/>
    <xf numFmtId="0" fontId="12" fillId="8" borderId="30" xfId="0" applyFont="1" applyFill="1" applyBorder="1" applyAlignment="1">
      <alignment horizontal="right"/>
    </xf>
    <xf numFmtId="42" fontId="12" fillId="8" borderId="31" xfId="0" applyNumberFormat="1" applyFont="1" applyFill="1" applyBorder="1"/>
    <xf numFmtId="42" fontId="12" fillId="8" borderId="11" xfId="3" applyNumberFormat="1" applyFont="1" applyFill="1" applyBorder="1"/>
    <xf numFmtId="42" fontId="12" fillId="8" borderId="31" xfId="3" applyNumberFormat="1" applyFont="1" applyFill="1" applyBorder="1"/>
    <xf numFmtId="42" fontId="12" fillId="8" borderId="32" xfId="3" applyNumberFormat="1" applyFont="1" applyFill="1" applyBorder="1"/>
    <xf numFmtId="0" fontId="12" fillId="8" borderId="30" xfId="0" applyFont="1" applyFill="1" applyBorder="1" applyAlignment="1">
      <alignment horizontal="right" vertical="top"/>
    </xf>
    <xf numFmtId="42" fontId="12" fillId="8" borderId="31" xfId="0" applyNumberFormat="1" applyFont="1" applyFill="1" applyBorder="1" applyAlignment="1">
      <alignment vertical="top"/>
    </xf>
    <xf numFmtId="42" fontId="12" fillId="8" borderId="11" xfId="3" applyNumberFormat="1" applyFont="1" applyFill="1" applyBorder="1" applyAlignment="1">
      <alignment vertical="top"/>
    </xf>
    <xf numFmtId="42" fontId="12" fillId="8" borderId="31" xfId="3" applyNumberFormat="1" applyFont="1" applyFill="1" applyBorder="1" applyAlignment="1">
      <alignment vertical="top"/>
    </xf>
    <xf numFmtId="42" fontId="12" fillId="8" borderId="32" xfId="3" applyNumberFormat="1" applyFont="1" applyFill="1" applyBorder="1" applyAlignment="1">
      <alignment vertical="top"/>
    </xf>
    <xf numFmtId="0" fontId="19" fillId="0" borderId="42" xfId="0" applyFont="1" applyBorder="1" applyAlignment="1">
      <alignment horizontal="right"/>
    </xf>
    <xf numFmtId="42" fontId="14" fillId="0" borderId="36" xfId="0" applyNumberFormat="1" applyFont="1" applyBorder="1"/>
    <xf numFmtId="42" fontId="14" fillId="0" borderId="8" xfId="3" applyNumberFormat="1" applyFont="1" applyFill="1" applyBorder="1"/>
    <xf numFmtId="42" fontId="14" fillId="0" borderId="43" xfId="3" applyNumberFormat="1" applyFont="1" applyFill="1" applyBorder="1"/>
    <xf numFmtId="42" fontId="12" fillId="8" borderId="44" xfId="0" applyNumberFormat="1" applyFont="1" applyFill="1" applyBorder="1"/>
    <xf numFmtId="42" fontId="49" fillId="8" borderId="11" xfId="3" applyNumberFormat="1" applyFont="1" applyFill="1" applyBorder="1"/>
    <xf numFmtId="0" fontId="13" fillId="8" borderId="30" xfId="0" applyFont="1" applyFill="1" applyBorder="1" applyAlignment="1">
      <alignment horizontal="right"/>
    </xf>
    <xf numFmtId="42" fontId="13" fillId="8" borderId="30" xfId="0" applyNumberFormat="1" applyFont="1" applyFill="1" applyBorder="1"/>
    <xf numFmtId="42" fontId="13" fillId="8" borderId="11" xfId="3" applyNumberFormat="1" applyFont="1" applyFill="1" applyBorder="1"/>
    <xf numFmtId="42" fontId="13" fillId="8" borderId="31" xfId="3" applyNumberFormat="1" applyFont="1" applyFill="1" applyBorder="1"/>
    <xf numFmtId="42" fontId="13" fillId="8" borderId="32" xfId="3" applyNumberFormat="1" applyFont="1" applyFill="1" applyBorder="1"/>
    <xf numFmtId="42" fontId="13" fillId="8" borderId="11" xfId="0" applyNumberFormat="1" applyFont="1" applyFill="1" applyBorder="1"/>
    <xf numFmtId="0" fontId="7" fillId="0" borderId="30" xfId="0" applyFont="1" applyFill="1" applyBorder="1"/>
    <xf numFmtId="42" fontId="7" fillId="0" borderId="30" xfId="0" applyNumberFormat="1" applyFont="1" applyFill="1" applyBorder="1"/>
    <xf numFmtId="42" fontId="7" fillId="0" borderId="11" xfId="0" applyNumberFormat="1" applyFont="1" applyFill="1" applyBorder="1"/>
    <xf numFmtId="42" fontId="7" fillId="0" borderId="31" xfId="3" applyNumberFormat="1" applyFont="1" applyFill="1" applyBorder="1"/>
    <xf numFmtId="0" fontId="13" fillId="8" borderId="34" xfId="0" applyFont="1" applyFill="1" applyBorder="1" applyAlignment="1">
      <alignment horizontal="right"/>
    </xf>
    <xf numFmtId="42" fontId="13" fillId="8" borderId="34" xfId="0" applyNumberFormat="1" applyFont="1" applyFill="1" applyBorder="1"/>
    <xf numFmtId="42" fontId="13" fillId="8" borderId="39" xfId="3" applyNumberFormat="1" applyFont="1" applyFill="1" applyBorder="1"/>
    <xf numFmtId="42" fontId="13" fillId="8" borderId="40" xfId="3" applyNumberFormat="1" applyFont="1" applyFill="1" applyBorder="1"/>
    <xf numFmtId="42" fontId="13" fillId="8" borderId="41" xfId="3" applyNumberFormat="1" applyFont="1" applyFill="1" applyBorder="1"/>
    <xf numFmtId="42" fontId="13" fillId="8" borderId="30" xfId="3" applyNumberFormat="1" applyFont="1" applyFill="1" applyBorder="1"/>
    <xf numFmtId="9" fontId="2" fillId="5" borderId="6" xfId="8" applyFont="1" applyFill="1" applyBorder="1"/>
    <xf numFmtId="9" fontId="9" fillId="0" borderId="0" xfId="8" applyFont="1" applyBorder="1"/>
    <xf numFmtId="10" fontId="11" fillId="0" borderId="0" xfId="8" applyNumberFormat="1" applyFont="1" applyFill="1" applyBorder="1" applyAlignment="1">
      <alignment vertical="top"/>
    </xf>
    <xf numFmtId="10" fontId="11" fillId="0" borderId="31" xfId="8" applyNumberFormat="1" applyFont="1" applyFill="1" applyBorder="1" applyAlignment="1">
      <alignment vertical="top"/>
    </xf>
    <xf numFmtId="10" fontId="11" fillId="0" borderId="0" xfId="8" applyNumberFormat="1" applyFont="1" applyFill="1" applyBorder="1"/>
    <xf numFmtId="10" fontId="12" fillId="8" borderId="31" xfId="8" applyNumberFormat="1" applyFont="1" applyFill="1" applyBorder="1"/>
    <xf numFmtId="10" fontId="7" fillId="0" borderId="0" xfId="8" applyNumberFormat="1" applyFont="1" applyFill="1" applyBorder="1"/>
    <xf numFmtId="10" fontId="12" fillId="8" borderId="31" xfId="8" applyNumberFormat="1" applyFont="1" applyFill="1" applyBorder="1" applyAlignment="1">
      <alignment vertical="top"/>
    </xf>
    <xf numFmtId="9" fontId="70" fillId="0" borderId="0" xfId="8" applyFont="1" applyFill="1" applyBorder="1" applyAlignment="1">
      <alignment vertical="top"/>
    </xf>
    <xf numFmtId="10" fontId="51" fillId="0" borderId="36" xfId="8" applyNumberFormat="1" applyFont="1" applyFill="1" applyBorder="1"/>
    <xf numFmtId="9" fontId="15" fillId="0" borderId="4" xfId="8" applyFont="1" applyBorder="1"/>
    <xf numFmtId="44" fontId="75" fillId="5" borderId="2" xfId="0" applyNumberFormat="1" applyFont="1" applyFill="1" applyBorder="1" applyAlignment="1">
      <alignment horizontal="center"/>
    </xf>
    <xf numFmtId="0" fontId="58" fillId="0" borderId="1" xfId="0" applyFont="1" applyBorder="1"/>
    <xf numFmtId="0" fontId="43" fillId="0" borderId="1" xfId="0" applyFont="1" applyFill="1" applyBorder="1" applyAlignment="1">
      <alignment vertical="top"/>
    </xf>
    <xf numFmtId="9" fontId="63" fillId="0" borderId="1" xfId="8" applyFont="1" applyFill="1" applyBorder="1" applyAlignment="1">
      <alignment vertical="top"/>
    </xf>
    <xf numFmtId="4" fontId="84" fillId="0" borderId="0" xfId="0" applyNumberFormat="1" applyFont="1"/>
    <xf numFmtId="169" fontId="40" fillId="0" borderId="0" xfId="3" applyNumberFormat="1" applyFont="1" applyFill="1" applyBorder="1" applyAlignment="1">
      <alignment horizontal="center"/>
    </xf>
    <xf numFmtId="41" fontId="0" fillId="9" borderId="12" xfId="0" applyNumberFormat="1" applyFill="1" applyBorder="1" applyAlignment="1">
      <alignment horizontal="center"/>
    </xf>
    <xf numFmtId="41" fontId="0" fillId="9" borderId="13" xfId="0" applyNumberFormat="1" applyFill="1" applyBorder="1" applyAlignment="1">
      <alignment horizontal="center"/>
    </xf>
    <xf numFmtId="0" fontId="83" fillId="9" borderId="5" xfId="0" applyFont="1" applyFill="1" applyBorder="1" applyAlignment="1">
      <alignment horizontal="center"/>
    </xf>
    <xf numFmtId="165" fontId="25" fillId="0" borderId="0" xfId="0" applyNumberFormat="1" applyFont="1" applyFill="1" applyAlignment="1">
      <alignment horizontal="center"/>
    </xf>
    <xf numFmtId="0" fontId="36" fillId="5" borderId="17" xfId="0" applyFont="1" applyFill="1" applyBorder="1"/>
    <xf numFmtId="8" fontId="0" fillId="0" borderId="0" xfId="0" applyNumberFormat="1" applyFill="1" applyBorder="1" applyAlignment="1">
      <alignment horizontal="center"/>
    </xf>
    <xf numFmtId="9" fontId="0" fillId="0" borderId="0" xfId="0" applyNumberFormat="1" applyFill="1" applyBorder="1" applyAlignment="1">
      <alignment horizontal="left"/>
    </xf>
    <xf numFmtId="10" fontId="12" fillId="8" borderId="31" xfId="8" applyNumberFormat="1" applyFont="1" applyFill="1" applyBorder="1" applyAlignment="1">
      <alignment horizontal="right"/>
    </xf>
    <xf numFmtId="10" fontId="12" fillId="8" borderId="31" xfId="8" applyNumberFormat="1" applyFont="1" applyFill="1" applyBorder="1" applyAlignment="1">
      <alignment horizontal="right" vertical="top"/>
    </xf>
    <xf numFmtId="0" fontId="22" fillId="0" borderId="46" xfId="0" applyFont="1" applyBorder="1"/>
    <xf numFmtId="0" fontId="11" fillId="11" borderId="30" xfId="0" applyFont="1" applyFill="1" applyBorder="1" applyAlignment="1">
      <alignment vertical="top"/>
    </xf>
    <xf numFmtId="42" fontId="11" fillId="11" borderId="11" xfId="0" applyNumberFormat="1" applyFont="1" applyFill="1" applyBorder="1" applyAlignment="1">
      <alignment vertical="top"/>
    </xf>
    <xf numFmtId="42" fontId="11" fillId="11" borderId="31" xfId="3" applyNumberFormat="1" applyFont="1" applyFill="1" applyBorder="1" applyAlignment="1">
      <alignment vertical="top"/>
    </xf>
    <xf numFmtId="42" fontId="11" fillId="11" borderId="32" xfId="3" applyNumberFormat="1" applyFont="1" applyFill="1" applyBorder="1" applyAlignment="1">
      <alignment vertical="top"/>
    </xf>
    <xf numFmtId="10" fontId="11" fillId="11" borderId="31" xfId="8" applyNumberFormat="1" applyFont="1" applyFill="1" applyBorder="1" applyAlignment="1">
      <alignment horizontal="right" vertical="top"/>
    </xf>
    <xf numFmtId="0" fontId="11" fillId="12" borderId="30" xfId="0" applyFont="1" applyFill="1" applyBorder="1" applyAlignment="1">
      <alignment vertical="top"/>
    </xf>
    <xf numFmtId="42" fontId="11" fillId="12" borderId="31" xfId="0" applyNumberFormat="1" applyFont="1" applyFill="1" applyBorder="1" applyAlignment="1">
      <alignment vertical="top"/>
    </xf>
    <xf numFmtId="42" fontId="11" fillId="12" borderId="11" xfId="0" applyNumberFormat="1" applyFont="1" applyFill="1" applyBorder="1" applyAlignment="1">
      <alignment vertical="top"/>
    </xf>
    <xf numFmtId="42" fontId="11" fillId="12" borderId="31" xfId="3" applyNumberFormat="1" applyFont="1" applyFill="1" applyBorder="1" applyAlignment="1">
      <alignment vertical="top"/>
    </xf>
    <xf numFmtId="42" fontId="11" fillId="12" borderId="32" xfId="3" applyNumberFormat="1" applyFont="1" applyFill="1" applyBorder="1" applyAlignment="1">
      <alignment vertical="top"/>
    </xf>
    <xf numFmtId="42" fontId="11" fillId="11" borderId="31" xfId="0" applyNumberFormat="1" applyFont="1" applyFill="1" applyBorder="1" applyAlignment="1">
      <alignment vertical="top"/>
    </xf>
    <xf numFmtId="0" fontId="11" fillId="12" borderId="1" xfId="0" applyFont="1" applyFill="1" applyBorder="1" applyAlignment="1">
      <alignment vertical="top"/>
    </xf>
    <xf numFmtId="42" fontId="11" fillId="12" borderId="0" xfId="0" applyNumberFormat="1" applyFont="1" applyFill="1" applyBorder="1" applyAlignment="1">
      <alignment vertical="top"/>
    </xf>
    <xf numFmtId="42" fontId="11" fillId="12" borderId="21" xfId="3" applyNumberFormat="1" applyFont="1" applyFill="1" applyBorder="1" applyAlignment="1">
      <alignment vertical="top"/>
    </xf>
    <xf numFmtId="42" fontId="11" fillId="12" borderId="0" xfId="3" applyNumberFormat="1" applyFont="1" applyFill="1" applyBorder="1" applyAlignment="1">
      <alignment vertical="top"/>
    </xf>
    <xf numFmtId="42" fontId="11" fillId="12" borderId="26" xfId="3" applyNumberFormat="1" applyFont="1" applyFill="1" applyBorder="1" applyAlignment="1">
      <alignment vertical="top"/>
    </xf>
    <xf numFmtId="10" fontId="11" fillId="12" borderId="0" xfId="8" applyNumberFormat="1" applyFont="1" applyFill="1" applyBorder="1" applyAlignment="1">
      <alignment vertical="top"/>
    </xf>
    <xf numFmtId="10" fontId="11" fillId="11" borderId="31" xfId="8" applyNumberFormat="1" applyFont="1" applyFill="1" applyBorder="1" applyAlignment="1">
      <alignment vertical="top"/>
    </xf>
    <xf numFmtId="10" fontId="11" fillId="12" borderId="31" xfId="8" applyNumberFormat="1" applyFont="1" applyFill="1" applyBorder="1" applyAlignment="1">
      <alignment vertical="top"/>
    </xf>
    <xf numFmtId="0" fontId="11" fillId="11" borderId="30" xfId="0" applyFont="1" applyFill="1" applyBorder="1" applyAlignment="1">
      <alignment vertical="top" wrapText="1"/>
    </xf>
    <xf numFmtId="42" fontId="42" fillId="13" borderId="3" xfId="0" applyNumberFormat="1" applyFont="1" applyFill="1" applyBorder="1" applyAlignment="1">
      <alignment horizontal="right"/>
    </xf>
    <xf numFmtId="42" fontId="42" fillId="13" borderId="9" xfId="0" applyNumberFormat="1" applyFont="1" applyFill="1" applyBorder="1" applyAlignment="1">
      <alignment horizontal="right"/>
    </xf>
    <xf numFmtId="42" fontId="29" fillId="13" borderId="3" xfId="3" applyNumberFormat="1" applyFont="1" applyFill="1" applyBorder="1"/>
    <xf numFmtId="42" fontId="42" fillId="13" borderId="3" xfId="3" applyNumberFormat="1" applyFont="1" applyFill="1" applyBorder="1"/>
    <xf numFmtId="42" fontId="11" fillId="12" borderId="21" xfId="0" applyNumberFormat="1" applyFont="1" applyFill="1" applyBorder="1" applyAlignment="1">
      <alignment vertical="top"/>
    </xf>
    <xf numFmtId="42" fontId="29" fillId="0" borderId="3" xfId="3" applyNumberFormat="1" applyFont="1" applyFill="1" applyBorder="1"/>
    <xf numFmtId="0" fontId="89" fillId="0" borderId="0" xfId="0" applyFont="1"/>
    <xf numFmtId="44" fontId="32" fillId="0" borderId="0" xfId="0" applyNumberFormat="1" applyFont="1"/>
    <xf numFmtId="0" fontId="60" fillId="0" borderId="1" xfId="0" applyFont="1" applyFill="1" applyBorder="1"/>
    <xf numFmtId="0" fontId="42" fillId="0" borderId="0" xfId="0" applyFont="1" applyFill="1" applyBorder="1"/>
    <xf numFmtId="0" fontId="42" fillId="0" borderId="1" xfId="0" applyFont="1" applyFill="1" applyBorder="1"/>
    <xf numFmtId="0" fontId="60" fillId="0" borderId="1" xfId="0" applyFont="1" applyBorder="1"/>
    <xf numFmtId="0" fontId="42" fillId="0" borderId="0" xfId="0" applyFont="1" applyBorder="1"/>
    <xf numFmtId="0" fontId="60" fillId="0" borderId="0" xfId="0" applyFont="1" applyBorder="1"/>
    <xf numFmtId="0" fontId="60" fillId="0" borderId="3" xfId="0" applyFont="1" applyBorder="1"/>
    <xf numFmtId="0" fontId="83" fillId="0" borderId="1" xfId="0" applyFont="1" applyBorder="1"/>
    <xf numFmtId="0" fontId="83" fillId="0" borderId="0" xfId="0" applyFont="1" applyBorder="1"/>
    <xf numFmtId="0" fontId="90" fillId="0" borderId="0" xfId="0" applyFont="1" applyBorder="1"/>
    <xf numFmtId="0" fontId="83" fillId="0" borderId="3" xfId="0" applyFont="1" applyBorder="1"/>
    <xf numFmtId="0" fontId="42" fillId="0" borderId="10" xfId="0" applyFont="1" applyBorder="1"/>
    <xf numFmtId="0" fontId="42" fillId="0" borderId="4" xfId="0" applyFont="1" applyBorder="1"/>
    <xf numFmtId="0" fontId="60" fillId="0" borderId="4" xfId="0" applyFont="1" applyBorder="1"/>
    <xf numFmtId="0" fontId="90" fillId="0" borderId="4" xfId="0" applyFont="1" applyBorder="1"/>
    <xf numFmtId="9" fontId="63" fillId="0" borderId="3" xfId="8" applyFont="1" applyFill="1" applyBorder="1" applyAlignment="1">
      <alignment vertical="top"/>
    </xf>
    <xf numFmtId="0" fontId="60" fillId="0" borderId="9" xfId="0" applyFont="1" applyBorder="1"/>
    <xf numFmtId="0" fontId="11" fillId="11" borderId="30" xfId="0" applyFont="1" applyFill="1" applyBorder="1" applyAlignment="1">
      <alignment horizontal="left" vertical="top"/>
    </xf>
    <xf numFmtId="42" fontId="11" fillId="11" borderId="31" xfId="0" applyNumberFormat="1" applyFont="1" applyFill="1" applyBorder="1" applyAlignment="1">
      <alignment horizontal="left" vertical="top"/>
    </xf>
    <xf numFmtId="42" fontId="11" fillId="11" borderId="11" xfId="3" applyNumberFormat="1" applyFont="1" applyFill="1" applyBorder="1" applyAlignment="1">
      <alignment horizontal="left" vertical="top"/>
    </xf>
    <xf numFmtId="42" fontId="11" fillId="11" borderId="31" xfId="3" applyNumberFormat="1" applyFont="1" applyFill="1" applyBorder="1" applyAlignment="1">
      <alignment horizontal="left" vertical="top"/>
    </xf>
    <xf numFmtId="42" fontId="11" fillId="11" borderId="41" xfId="3" applyNumberFormat="1" applyFont="1" applyFill="1" applyBorder="1" applyAlignment="1">
      <alignment horizontal="left" vertical="top"/>
    </xf>
    <xf numFmtId="42" fontId="11" fillId="11" borderId="11" xfId="3" applyNumberFormat="1" applyFont="1" applyFill="1" applyBorder="1" applyAlignment="1">
      <alignment vertical="top"/>
    </xf>
    <xf numFmtId="42" fontId="11" fillId="11" borderId="47" xfId="3" applyNumberFormat="1" applyFont="1" applyFill="1" applyBorder="1" applyAlignment="1">
      <alignment vertical="top"/>
    </xf>
    <xf numFmtId="0" fontId="11" fillId="11" borderId="30" xfId="0" applyFont="1" applyFill="1" applyBorder="1"/>
    <xf numFmtId="42" fontId="11" fillId="11" borderId="31" xfId="0" applyNumberFormat="1" applyFont="1" applyFill="1" applyBorder="1"/>
    <xf numFmtId="42" fontId="11" fillId="11" borderId="31" xfId="3" applyNumberFormat="1" applyFont="1" applyFill="1" applyBorder="1"/>
    <xf numFmtId="10" fontId="11" fillId="11" borderId="31" xfId="8" applyNumberFormat="1" applyFont="1" applyFill="1" applyBorder="1"/>
    <xf numFmtId="10" fontId="11" fillId="11" borderId="33" xfId="8" applyNumberFormat="1" applyFont="1" applyFill="1" applyBorder="1" applyAlignment="1">
      <alignment vertical="top"/>
    </xf>
    <xf numFmtId="0" fontId="11" fillId="11" borderId="34" xfId="0" applyFont="1" applyFill="1" applyBorder="1" applyAlignment="1">
      <alignment vertical="top"/>
    </xf>
    <xf numFmtId="42" fontId="11" fillId="11" borderId="40" xfId="0" applyNumberFormat="1" applyFont="1" applyFill="1" applyBorder="1" applyAlignment="1">
      <alignment vertical="top"/>
    </xf>
    <xf numFmtId="42" fontId="11" fillId="11" borderId="39" xfId="0" applyNumberFormat="1" applyFont="1" applyFill="1" applyBorder="1" applyAlignment="1">
      <alignment vertical="top"/>
    </xf>
    <xf numFmtId="42" fontId="11" fillId="11" borderId="40" xfId="3" applyNumberFormat="1" applyFont="1" applyFill="1" applyBorder="1" applyAlignment="1">
      <alignment vertical="top"/>
    </xf>
    <xf numFmtId="42" fontId="11" fillId="11" borderId="41" xfId="3" applyNumberFormat="1" applyFont="1" applyFill="1" applyBorder="1" applyAlignment="1">
      <alignment vertical="top"/>
    </xf>
    <xf numFmtId="10" fontId="11" fillId="11" borderId="40" xfId="8" applyNumberFormat="1" applyFont="1" applyFill="1" applyBorder="1" applyAlignment="1">
      <alignment vertical="top"/>
    </xf>
    <xf numFmtId="0" fontId="11" fillId="12" borderId="30" xfId="0" applyFont="1" applyFill="1" applyBorder="1" applyAlignment="1">
      <alignment vertical="top" wrapText="1"/>
    </xf>
    <xf numFmtId="0" fontId="11" fillId="12" borderId="34" xfId="0" applyFont="1" applyFill="1" applyBorder="1" applyAlignment="1">
      <alignment vertical="top"/>
    </xf>
    <xf numFmtId="42" fontId="11" fillId="12" borderId="40" xfId="0" applyNumberFormat="1" applyFont="1" applyFill="1" applyBorder="1" applyAlignment="1">
      <alignment vertical="top"/>
    </xf>
    <xf numFmtId="42" fontId="11" fillId="12" borderId="39" xfId="3" applyNumberFormat="1" applyFont="1" applyFill="1" applyBorder="1" applyAlignment="1">
      <alignment vertical="top"/>
    </xf>
    <xf numFmtId="42" fontId="11" fillId="12" borderId="40" xfId="3" applyNumberFormat="1" applyFont="1" applyFill="1" applyBorder="1" applyAlignment="1">
      <alignment vertical="top"/>
    </xf>
    <xf numFmtId="42" fontId="11" fillId="12" borderId="41" xfId="3" applyNumberFormat="1" applyFont="1" applyFill="1" applyBorder="1" applyAlignment="1">
      <alignment vertical="top"/>
    </xf>
    <xf numFmtId="44" fontId="91" fillId="5" borderId="2" xfId="0" applyNumberFormat="1" applyFont="1" applyFill="1" applyBorder="1" applyAlignment="1">
      <alignment horizontal="center"/>
    </xf>
    <xf numFmtId="44" fontId="5" fillId="5" borderId="6" xfId="3" applyFont="1" applyFill="1" applyBorder="1" applyAlignment="1">
      <alignment horizontal="center"/>
    </xf>
    <xf numFmtId="44" fontId="5" fillId="5" borderId="1" xfId="3" applyFont="1" applyFill="1" applyBorder="1" applyAlignment="1">
      <alignment horizontal="center"/>
    </xf>
    <xf numFmtId="166" fontId="31" fillId="5" borderId="10" xfId="8" applyNumberFormat="1" applyFont="1" applyFill="1" applyBorder="1" applyAlignment="1">
      <alignment horizontal="center"/>
    </xf>
    <xf numFmtId="0" fontId="32" fillId="0" borderId="12" xfId="0" applyFont="1" applyBorder="1" applyAlignment="1">
      <alignment horizontal="center"/>
    </xf>
    <xf numFmtId="40" fontId="93" fillId="0" borderId="0" xfId="5" applyNumberFormat="1" applyFont="1"/>
    <xf numFmtId="0" fontId="43" fillId="0" borderId="0" xfId="5" applyFont="1"/>
    <xf numFmtId="0" fontId="43" fillId="0" borderId="0" xfId="5" applyFont="1" applyAlignment="1">
      <alignment horizontal="left" indent="1"/>
    </xf>
    <xf numFmtId="0" fontId="94" fillId="0" borderId="0" xfId="5" applyFont="1"/>
    <xf numFmtId="0" fontId="57" fillId="0" borderId="0" xfId="5" applyFont="1"/>
    <xf numFmtId="0" fontId="94" fillId="0" borderId="0" xfId="7" applyFont="1"/>
    <xf numFmtId="0" fontId="95" fillId="0" borderId="0" xfId="7" applyFont="1"/>
    <xf numFmtId="0" fontId="95" fillId="0" borderId="0" xfId="5" applyFont="1"/>
    <xf numFmtId="40" fontId="0" fillId="0" borderId="4" xfId="0" applyNumberFormat="1" applyFill="1" applyBorder="1"/>
    <xf numFmtId="40" fontId="0" fillId="0" borderId="0" xfId="0" applyNumberFormat="1" applyFill="1" applyBorder="1"/>
    <xf numFmtId="44" fontId="42" fillId="0" borderId="0" xfId="3" applyFont="1" applyBorder="1"/>
    <xf numFmtId="42" fontId="21" fillId="0" borderId="0" xfId="0" quotePrefix="1" applyNumberFormat="1" applyFont="1" applyFill="1" applyBorder="1" applyAlignment="1">
      <alignment horizontal="right"/>
    </xf>
    <xf numFmtId="42" fontId="29" fillId="0" borderId="0" xfId="3" applyNumberFormat="1" applyFont="1" applyFill="1" applyBorder="1"/>
    <xf numFmtId="40" fontId="93" fillId="0" borderId="0" xfId="5" applyNumberFormat="1" applyFont="1" applyBorder="1"/>
    <xf numFmtId="42" fontId="21" fillId="0" borderId="0" xfId="0" applyNumberFormat="1" applyFont="1" applyBorder="1"/>
    <xf numFmtId="0" fontId="43" fillId="0" borderId="1" xfId="5" applyFont="1" applyBorder="1" applyAlignment="1">
      <alignment horizontal="right"/>
    </xf>
    <xf numFmtId="0" fontId="95" fillId="0" borderId="0" xfId="5" applyFont="1" applyAlignment="1">
      <alignment wrapText="1"/>
    </xf>
    <xf numFmtId="0" fontId="96" fillId="0" borderId="0" xfId="7" applyFont="1"/>
    <xf numFmtId="42" fontId="0" fillId="0" borderId="48" xfId="0" applyNumberFormat="1" applyBorder="1"/>
    <xf numFmtId="42" fontId="42" fillId="0" borderId="2" xfId="0" applyNumberFormat="1" applyFont="1" applyFill="1" applyBorder="1"/>
    <xf numFmtId="42" fontId="32" fillId="0" borderId="5" xfId="3" applyNumberFormat="1" applyFont="1" applyBorder="1"/>
    <xf numFmtId="42" fontId="29" fillId="0" borderId="12" xfId="3" applyNumberFormat="1" applyFont="1" applyBorder="1"/>
    <xf numFmtId="42" fontId="32" fillId="0" borderId="12" xfId="3" applyNumberFormat="1" applyFont="1" applyFill="1" applyBorder="1" applyAlignment="1">
      <alignment horizontal="center"/>
    </xf>
    <xf numFmtId="42" fontId="32" fillId="0" borderId="12" xfId="3" applyNumberFormat="1" applyFont="1" applyFill="1" applyBorder="1"/>
    <xf numFmtId="44" fontId="29" fillId="0" borderId="12" xfId="3" applyFont="1" applyBorder="1"/>
    <xf numFmtId="44" fontId="29" fillId="0" borderId="13" xfId="3" applyFont="1" applyBorder="1"/>
    <xf numFmtId="4" fontId="0" fillId="0" borderId="0" xfId="0" applyNumberFormat="1"/>
    <xf numFmtId="4" fontId="101" fillId="0" borderId="0" xfId="0" applyNumberFormat="1" applyFont="1"/>
    <xf numFmtId="0" fontId="43" fillId="0" borderId="6" xfId="0" applyFont="1" applyBorder="1" applyAlignment="1">
      <alignment wrapText="1"/>
    </xf>
    <xf numFmtId="0" fontId="99" fillId="5" borderId="5" xfId="0" applyFont="1" applyFill="1" applyBorder="1"/>
    <xf numFmtId="0" fontId="5" fillId="5" borderId="2" xfId="0" applyFont="1" applyFill="1" applyBorder="1" applyAlignment="1">
      <alignment horizontal="center"/>
    </xf>
    <xf numFmtId="44" fontId="64" fillId="5" borderId="0" xfId="3" quotePrefix="1" applyNumberFormat="1" applyFont="1" applyFill="1" applyBorder="1" applyAlignment="1">
      <alignment horizontal="center"/>
    </xf>
    <xf numFmtId="42" fontId="29" fillId="0" borderId="0" xfId="3" applyNumberFormat="1" applyFont="1" applyBorder="1" applyAlignment="1">
      <alignment horizontal="left"/>
    </xf>
    <xf numFmtId="0" fontId="7" fillId="0" borderId="1" xfId="0" applyFont="1" applyFill="1" applyBorder="1" applyAlignment="1">
      <alignment vertical="top"/>
    </xf>
    <xf numFmtId="10" fontId="0" fillId="0" borderId="0" xfId="0" applyNumberFormat="1"/>
    <xf numFmtId="44" fontId="73" fillId="5" borderId="5" xfId="0" applyNumberFormat="1" applyFont="1" applyFill="1" applyBorder="1" applyAlignment="1">
      <alignment horizontal="left"/>
    </xf>
    <xf numFmtId="0" fontId="76" fillId="0" borderId="1" xfId="0" applyFont="1" applyBorder="1" applyAlignment="1">
      <alignment horizontal="left"/>
    </xf>
    <xf numFmtId="10" fontId="0" fillId="0" borderId="11" xfId="0" applyNumberFormat="1" applyBorder="1" applyAlignment="1">
      <alignment horizontal="center"/>
    </xf>
    <xf numFmtId="10" fontId="0" fillId="0" borderId="39" xfId="0" applyNumberFormat="1" applyBorder="1" applyAlignment="1">
      <alignment horizontal="center"/>
    </xf>
    <xf numFmtId="10" fontId="0" fillId="0" borderId="54" xfId="0" applyNumberFormat="1" applyBorder="1" applyAlignment="1">
      <alignment horizontal="center"/>
    </xf>
    <xf numFmtId="10" fontId="0" fillId="0" borderId="55" xfId="0" applyNumberFormat="1" applyBorder="1" applyAlignment="1">
      <alignment horizontal="center"/>
    </xf>
    <xf numFmtId="10" fontId="0" fillId="0" borderId="56" xfId="0" applyNumberFormat="1" applyBorder="1" applyAlignment="1">
      <alignment horizontal="center"/>
    </xf>
    <xf numFmtId="10" fontId="0" fillId="0" borderId="57" xfId="0" applyNumberFormat="1" applyBorder="1" applyAlignment="1">
      <alignment horizontal="center"/>
    </xf>
    <xf numFmtId="10" fontId="0" fillId="0" borderId="58" xfId="0" applyNumberFormat="1" applyBorder="1" applyAlignment="1">
      <alignment horizontal="center"/>
    </xf>
    <xf numFmtId="10" fontId="0" fillId="0" borderId="59" xfId="0" applyNumberFormat="1" applyBorder="1" applyAlignment="1">
      <alignment horizontal="center"/>
    </xf>
    <xf numFmtId="10" fontId="0" fillId="0" borderId="60" xfId="0" applyNumberFormat="1" applyBorder="1" applyAlignment="1">
      <alignment horizontal="center"/>
    </xf>
    <xf numFmtId="42" fontId="13" fillId="0" borderId="0" xfId="3" applyNumberFormat="1" applyFont="1" applyFill="1" applyBorder="1"/>
    <xf numFmtId="42" fontId="13" fillId="0" borderId="21" xfId="3" applyNumberFormat="1" applyFont="1" applyFill="1" applyBorder="1"/>
    <xf numFmtId="42" fontId="13" fillId="0" borderId="26" xfId="3" applyNumberFormat="1" applyFont="1" applyFill="1" applyBorder="1"/>
    <xf numFmtId="10" fontId="12" fillId="8" borderId="33" xfId="8" applyNumberFormat="1" applyFont="1" applyFill="1" applyBorder="1" applyAlignment="1">
      <alignment horizontal="right"/>
    </xf>
    <xf numFmtId="44" fontId="91" fillId="5" borderId="2" xfId="3" applyNumberFormat="1" applyFont="1" applyFill="1" applyBorder="1" applyAlignment="1">
      <alignment horizontal="center"/>
    </xf>
    <xf numFmtId="0" fontId="100" fillId="5" borderId="6" xfId="0" applyFont="1" applyFill="1" applyBorder="1" applyAlignment="1">
      <alignment horizontal="center" vertical="top" wrapText="1"/>
    </xf>
    <xf numFmtId="0" fontId="7" fillId="0" borderId="5" xfId="0" applyFont="1" applyBorder="1"/>
    <xf numFmtId="0" fontId="8" fillId="0" borderId="12" xfId="0" applyFont="1" applyBorder="1"/>
    <xf numFmtId="0" fontId="12" fillId="8" borderId="46" xfId="0" applyFont="1" applyFill="1" applyBorder="1" applyAlignment="1">
      <alignment horizontal="right"/>
    </xf>
    <xf numFmtId="0" fontId="8" fillId="0" borderId="12" xfId="0" applyFont="1" applyFill="1" applyBorder="1"/>
    <xf numFmtId="0" fontId="13" fillId="0" borderId="12" xfId="0" applyFont="1" applyFill="1" applyBorder="1" applyAlignment="1">
      <alignment horizontal="right"/>
    </xf>
    <xf numFmtId="0" fontId="18" fillId="0" borderId="12" xfId="0" applyFont="1" applyFill="1" applyBorder="1"/>
    <xf numFmtId="0" fontId="12" fillId="8" borderId="46" xfId="0" applyFont="1" applyFill="1" applyBorder="1" applyAlignment="1">
      <alignment horizontal="right" vertical="top"/>
    </xf>
    <xf numFmtId="0" fontId="12" fillId="0" borderId="12" xfId="0" applyFont="1" applyFill="1" applyBorder="1" applyAlignment="1">
      <alignment vertical="top"/>
    </xf>
    <xf numFmtId="0" fontId="11" fillId="0" borderId="12" xfId="0" applyFont="1" applyFill="1" applyBorder="1"/>
    <xf numFmtId="0" fontId="12" fillId="0" borderId="12" xfId="0" applyFont="1" applyFill="1" applyBorder="1"/>
    <xf numFmtId="0" fontId="12" fillId="8" borderId="61" xfId="0" applyFont="1" applyFill="1" applyBorder="1" applyAlignment="1">
      <alignment horizontal="right"/>
    </xf>
    <xf numFmtId="0" fontId="12" fillId="8" borderId="62" xfId="0" applyFont="1" applyFill="1" applyBorder="1" applyAlignment="1">
      <alignment horizontal="right"/>
    </xf>
    <xf numFmtId="0" fontId="12" fillId="0" borderId="61" xfId="0" applyFont="1" applyFill="1" applyBorder="1" applyAlignment="1">
      <alignment horizontal="right"/>
    </xf>
    <xf numFmtId="0" fontId="18" fillId="0" borderId="62" xfId="0" applyFont="1" applyFill="1" applyBorder="1" applyAlignment="1">
      <alignment horizontal="right"/>
    </xf>
    <xf numFmtId="0" fontId="20" fillId="0" borderId="13" xfId="0" applyFont="1" applyFill="1" applyBorder="1"/>
    <xf numFmtId="9" fontId="2" fillId="5" borderId="7" xfId="3" applyNumberFormat="1" applyFont="1" applyFill="1" applyBorder="1" applyAlignment="1">
      <alignment horizontal="right"/>
    </xf>
    <xf numFmtId="9" fontId="9" fillId="0" borderId="0" xfId="8" applyNumberFormat="1" applyFont="1" applyFill="1" applyBorder="1" applyAlignment="1">
      <alignment horizontal="right"/>
    </xf>
    <xf numFmtId="10" fontId="7" fillId="0" borderId="0" xfId="8" applyNumberFormat="1" applyFont="1" applyFill="1" applyBorder="1" applyAlignment="1">
      <alignment horizontal="right"/>
    </xf>
    <xf numFmtId="10" fontId="13" fillId="0" borderId="0" xfId="8" applyNumberFormat="1" applyFont="1" applyFill="1" applyBorder="1" applyAlignment="1">
      <alignment horizontal="right"/>
    </xf>
    <xf numFmtId="10" fontId="11" fillId="0" borderId="0" xfId="8" applyNumberFormat="1" applyFont="1" applyBorder="1" applyAlignment="1">
      <alignment horizontal="right"/>
    </xf>
    <xf numFmtId="10" fontId="11" fillId="0" borderId="36" xfId="8" applyNumberFormat="1" applyFont="1" applyBorder="1" applyAlignment="1">
      <alignment horizontal="right"/>
    </xf>
    <xf numFmtId="10" fontId="15" fillId="0" borderId="36" xfId="8" applyNumberFormat="1" applyFont="1" applyBorder="1" applyAlignment="1">
      <alignment horizontal="right"/>
    </xf>
    <xf numFmtId="10" fontId="14" fillId="0" borderId="40" xfId="8" applyNumberFormat="1" applyFont="1" applyBorder="1" applyAlignment="1">
      <alignment horizontal="right"/>
    </xf>
    <xf numFmtId="9" fontId="7" fillId="0" borderId="4" xfId="8" applyNumberFormat="1" applyFont="1" applyBorder="1" applyAlignment="1">
      <alignment horizontal="right"/>
    </xf>
    <xf numFmtId="9" fontId="7" fillId="0" borderId="0" xfId="8" applyNumberFormat="1" applyFont="1" applyAlignment="1">
      <alignment horizontal="right"/>
    </xf>
    <xf numFmtId="0" fontId="9" fillId="0" borderId="0" xfId="0" applyFont="1" applyBorder="1"/>
    <xf numFmtId="41" fontId="0" fillId="0" borderId="0" xfId="0" applyNumberFormat="1" applyFill="1" applyBorder="1" applyAlignment="1">
      <alignment horizontal="center"/>
    </xf>
    <xf numFmtId="0" fontId="0" fillId="20" borderId="0" xfId="0" applyFill="1"/>
    <xf numFmtId="166" fontId="32" fillId="20" borderId="0" xfId="8" applyNumberFormat="1" applyFont="1" applyFill="1" applyAlignment="1">
      <alignment horizontal="center"/>
    </xf>
    <xf numFmtId="169" fontId="0" fillId="0" borderId="0" xfId="0" applyNumberFormat="1" applyFill="1" applyBorder="1" applyAlignment="1">
      <alignment horizontal="center"/>
    </xf>
    <xf numFmtId="42" fontId="52" fillId="0" borderId="0" xfId="0" applyNumberFormat="1" applyFont="1" applyFill="1" applyBorder="1" applyAlignment="1">
      <alignment horizontal="right"/>
    </xf>
    <xf numFmtId="3" fontId="11" fillId="0" borderId="30" xfId="0" applyNumberFormat="1" applyFont="1" applyFill="1" applyBorder="1" applyAlignment="1">
      <alignment vertical="top"/>
    </xf>
    <xf numFmtId="0" fontId="7" fillId="0" borderId="1" xfId="0" applyFont="1" applyFill="1" applyBorder="1" applyAlignment="1">
      <alignment vertical="center"/>
    </xf>
    <xf numFmtId="42" fontId="7" fillId="0" borderId="1" xfId="0" applyNumberFormat="1" applyFont="1" applyFill="1" applyBorder="1" applyAlignment="1">
      <alignment vertical="center"/>
    </xf>
    <xf numFmtId="42" fontId="7" fillId="0" borderId="21" xfId="0" applyNumberFormat="1" applyFont="1" applyFill="1" applyBorder="1" applyAlignment="1">
      <alignment vertical="center"/>
    </xf>
    <xf numFmtId="42" fontId="7" fillId="0" borderId="0" xfId="3" applyNumberFormat="1" applyFont="1" applyFill="1" applyBorder="1" applyAlignment="1">
      <alignment vertical="center"/>
    </xf>
    <xf numFmtId="0" fontId="7" fillId="0" borderId="0" xfId="0" applyFont="1" applyFill="1" applyBorder="1" applyAlignment="1">
      <alignment vertical="center"/>
    </xf>
    <xf numFmtId="0" fontId="11" fillId="0" borderId="12" xfId="0" applyFont="1" applyFill="1" applyBorder="1" applyAlignment="1">
      <alignment vertical="top"/>
    </xf>
    <xf numFmtId="0" fontId="0" fillId="0" borderId="10" xfId="0" applyBorder="1"/>
    <xf numFmtId="42" fontId="43" fillId="0" borderId="15" xfId="3" applyNumberFormat="1" applyFont="1" applyFill="1" applyBorder="1"/>
    <xf numFmtId="42" fontId="42" fillId="0" borderId="0" xfId="0" applyNumberFormat="1" applyFont="1" applyFill="1" applyBorder="1" applyAlignment="1">
      <alignment horizontal="right"/>
    </xf>
    <xf numFmtId="42" fontId="42" fillId="0" borderId="4" xfId="0" applyNumberFormat="1" applyFont="1" applyFill="1" applyBorder="1" applyAlignment="1">
      <alignment horizontal="right"/>
    </xf>
    <xf numFmtId="42" fontId="29" fillId="0" borderId="5" xfId="3" applyNumberFormat="1" applyFont="1" applyFill="1" applyBorder="1"/>
    <xf numFmtId="42" fontId="42" fillId="0" borderId="12" xfId="3" applyNumberFormat="1" applyFont="1" applyFill="1" applyBorder="1"/>
    <xf numFmtId="42" fontId="42" fillId="0" borderId="12" xfId="0" applyNumberFormat="1" applyFont="1" applyBorder="1"/>
    <xf numFmtId="42" fontId="29" fillId="0" borderId="12" xfId="3" applyNumberFormat="1" applyFont="1" applyFill="1" applyBorder="1"/>
    <xf numFmtId="42" fontId="29" fillId="0" borderId="13" xfId="3" applyNumberFormat="1" applyFont="1" applyFill="1" applyBorder="1"/>
    <xf numFmtId="0" fontId="59" fillId="0" borderId="0" xfId="0" applyFont="1" applyAlignment="1">
      <alignment vertical="top"/>
    </xf>
    <xf numFmtId="42" fontId="59" fillId="0" borderId="0" xfId="0" applyNumberFormat="1" applyFont="1" applyAlignment="1">
      <alignment vertical="top"/>
    </xf>
    <xf numFmtId="0" fontId="59" fillId="0" borderId="0" xfId="0" applyFont="1" applyFill="1" applyAlignment="1">
      <alignment horizontal="left" vertical="center" wrapText="1"/>
    </xf>
    <xf numFmtId="42" fontId="7" fillId="0" borderId="0" xfId="0" applyNumberFormat="1" applyFont="1"/>
    <xf numFmtId="0" fontId="0" fillId="0" borderId="0" xfId="0" applyFill="1" applyBorder="1" applyAlignment="1">
      <alignment vertical="center"/>
    </xf>
    <xf numFmtId="44" fontId="7" fillId="0" borderId="1" xfId="0" applyNumberFormat="1" applyFont="1" applyFill="1" applyBorder="1" applyAlignment="1">
      <alignment horizontal="left" vertical="top" wrapText="1"/>
    </xf>
    <xf numFmtId="0" fontId="11" fillId="0" borderId="0" xfId="7" applyFont="1" applyAlignment="1">
      <alignment wrapText="1"/>
    </xf>
    <xf numFmtId="0" fontId="11" fillId="0" borderId="0" xfId="5" applyFont="1" applyAlignment="1">
      <alignment wrapText="1"/>
    </xf>
    <xf numFmtId="0" fontId="7" fillId="0" borderId="0" xfId="0" applyFont="1" applyAlignment="1">
      <alignment vertical="center"/>
    </xf>
    <xf numFmtId="42" fontId="11" fillId="0" borderId="44" xfId="0" applyNumberFormat="1" applyFont="1" applyFill="1" applyBorder="1" applyAlignment="1">
      <alignment vertical="top"/>
    </xf>
    <xf numFmtId="0" fontId="11" fillId="0" borderId="46" xfId="0" applyFont="1" applyFill="1" applyBorder="1" applyAlignment="1">
      <alignment vertical="top"/>
    </xf>
    <xf numFmtId="42" fontId="11" fillId="0" borderId="11" xfId="3" applyNumberFormat="1" applyFont="1" applyFill="1" applyBorder="1" applyAlignment="1">
      <alignment vertical="top"/>
    </xf>
    <xf numFmtId="0" fontId="11" fillId="0" borderId="46" xfId="0" applyFont="1" applyFill="1" applyBorder="1" applyAlignment="1">
      <alignment horizontal="left" vertical="top"/>
    </xf>
    <xf numFmtId="42" fontId="11" fillId="0" borderId="31" xfId="0" applyNumberFormat="1" applyFont="1" applyFill="1" applyBorder="1" applyAlignment="1">
      <alignment horizontal="left" vertical="top"/>
    </xf>
    <xf numFmtId="42" fontId="11" fillId="0" borderId="11" xfId="3" applyNumberFormat="1" applyFont="1" applyFill="1" applyBorder="1" applyAlignment="1">
      <alignment horizontal="left" vertical="top"/>
    </xf>
    <xf numFmtId="42" fontId="11" fillId="0" borderId="31" xfId="3" applyNumberFormat="1" applyFont="1" applyFill="1" applyBorder="1" applyAlignment="1">
      <alignment horizontal="left" vertical="top"/>
    </xf>
    <xf numFmtId="42" fontId="11" fillId="0" borderId="47" xfId="3" applyNumberFormat="1" applyFont="1" applyFill="1" applyBorder="1" applyAlignment="1">
      <alignment vertical="top"/>
    </xf>
    <xf numFmtId="42" fontId="11" fillId="0" borderId="21" xfId="3" applyNumberFormat="1" applyFont="1" applyFill="1" applyBorder="1" applyAlignment="1">
      <alignment vertical="top"/>
    </xf>
    <xf numFmtId="0" fontId="7" fillId="0" borderId="42" xfId="0" applyFont="1" applyFill="1" applyBorder="1" applyAlignment="1">
      <alignment vertical="top"/>
    </xf>
    <xf numFmtId="42" fontId="7" fillId="0" borderId="42" xfId="0" applyNumberFormat="1" applyFont="1" applyFill="1" applyBorder="1" applyAlignment="1">
      <alignment vertical="top"/>
    </xf>
    <xf numFmtId="42" fontId="7" fillId="0" borderId="8" xfId="0" applyNumberFormat="1" applyFont="1" applyFill="1" applyBorder="1" applyAlignment="1">
      <alignment vertical="top"/>
    </xf>
    <xf numFmtId="42" fontId="7" fillId="0" borderId="36" xfId="3" applyNumberFormat="1" applyFont="1" applyFill="1" applyBorder="1" applyAlignment="1">
      <alignment vertical="top"/>
    </xf>
    <xf numFmtId="170" fontId="1" fillId="0" borderId="0" xfId="3" applyNumberFormat="1" applyFont="1" applyAlignment="1">
      <alignment vertical="center"/>
    </xf>
    <xf numFmtId="0" fontId="98" fillId="0" borderId="1" xfId="0" applyFont="1" applyFill="1" applyBorder="1" applyAlignment="1">
      <alignment vertical="center"/>
    </xf>
    <xf numFmtId="0" fontId="98" fillId="0" borderId="0" xfId="0" applyFont="1" applyFill="1" applyBorder="1" applyAlignment="1">
      <alignment vertical="center"/>
    </xf>
    <xf numFmtId="0" fontId="98" fillId="0" borderId="10" xfId="0" applyFont="1" applyFill="1" applyBorder="1" applyAlignment="1">
      <alignment vertical="center"/>
    </xf>
    <xf numFmtId="0" fontId="98" fillId="0" borderId="4" xfId="0" applyFont="1" applyFill="1" applyBorder="1" applyAlignment="1">
      <alignment vertical="center"/>
    </xf>
    <xf numFmtId="0" fontId="59" fillId="0" borderId="0" xfId="0" applyFont="1" applyAlignment="1">
      <alignment horizontal="right" vertical="center"/>
    </xf>
    <xf numFmtId="42" fontId="43" fillId="0" borderId="44" xfId="0" applyNumberFormat="1" applyFont="1" applyBorder="1" applyAlignment="1">
      <alignment horizontal="right" vertical="center"/>
    </xf>
    <xf numFmtId="0" fontId="42" fillId="0" borderId="30" xfId="0" applyFont="1" applyBorder="1" applyAlignment="1">
      <alignment horizontal="right"/>
    </xf>
    <xf numFmtId="42" fontId="43" fillId="0" borderId="44" xfId="3" applyNumberFormat="1" applyFont="1" applyBorder="1" applyAlignment="1">
      <alignment vertical="center"/>
    </xf>
    <xf numFmtId="0" fontId="42" fillId="0" borderId="64" xfId="0" applyFont="1" applyBorder="1" applyAlignment="1">
      <alignment horizontal="right" wrapText="1"/>
    </xf>
    <xf numFmtId="42" fontId="43" fillId="0" borderId="65" xfId="0" applyNumberFormat="1" applyFont="1" applyBorder="1" applyAlignment="1">
      <alignment horizontal="right" vertical="center"/>
    </xf>
    <xf numFmtId="0" fontId="12" fillId="0" borderId="0" xfId="0" applyFont="1" applyFill="1" applyBorder="1" applyAlignment="1">
      <alignment vertical="top" wrapText="1"/>
    </xf>
    <xf numFmtId="0" fontId="7" fillId="0" borderId="1" xfId="0" applyFont="1" applyFill="1" applyBorder="1" applyAlignment="1">
      <alignment vertical="top" wrapText="1"/>
    </xf>
    <xf numFmtId="0" fontId="103" fillId="0" borderId="0" xfId="0" applyFont="1"/>
    <xf numFmtId="0" fontId="104" fillId="0" borderId="0" xfId="0" applyFont="1" applyBorder="1"/>
    <xf numFmtId="0" fontId="104" fillId="0" borderId="3" xfId="0" applyFont="1" applyBorder="1"/>
    <xf numFmtId="0" fontId="13" fillId="0" borderId="63" xfId="0" applyFont="1" applyFill="1" applyBorder="1"/>
    <xf numFmtId="44" fontId="0" fillId="0" borderId="3" xfId="0" applyNumberFormat="1" applyFill="1" applyBorder="1"/>
    <xf numFmtId="44" fontId="0" fillId="0" borderId="11" xfId="0" applyNumberFormat="1" applyFill="1" applyBorder="1"/>
    <xf numFmtId="44" fontId="0" fillId="0" borderId="40" xfId="0" applyNumberFormat="1" applyFill="1" applyBorder="1"/>
    <xf numFmtId="0" fontId="0" fillId="0" borderId="1" xfId="0" applyBorder="1" applyAlignment="1">
      <alignment horizontal="right"/>
    </xf>
    <xf numFmtId="44" fontId="0" fillId="0" borderId="3" xfId="0" applyNumberFormat="1" applyBorder="1"/>
    <xf numFmtId="0" fontId="0" fillId="0" borderId="10" xfId="0" applyBorder="1" applyAlignment="1">
      <alignment horizontal="right"/>
    </xf>
    <xf numFmtId="44" fontId="0" fillId="0" borderId="9" xfId="0" applyNumberFormat="1" applyBorder="1"/>
    <xf numFmtId="0" fontId="105" fillId="0" borderId="0" xfId="0" applyFont="1" applyAlignment="1">
      <alignment horizontal="right"/>
    </xf>
    <xf numFmtId="0" fontId="0" fillId="0" borderId="4" xfId="0" applyFill="1" applyBorder="1" applyAlignment="1">
      <alignment horizontal="right"/>
    </xf>
    <xf numFmtId="169" fontId="0" fillId="0" borderId="4" xfId="0" applyNumberFormat="1" applyFill="1" applyBorder="1"/>
    <xf numFmtId="44" fontId="64" fillId="5" borderId="9" xfId="3" applyFont="1" applyFill="1" applyBorder="1" applyAlignment="1">
      <alignment horizontal="center" wrapText="1"/>
    </xf>
    <xf numFmtId="13" fontId="64" fillId="16" borderId="3" xfId="3" quotePrefix="1" applyNumberFormat="1" applyFont="1" applyFill="1" applyBorder="1" applyAlignment="1">
      <alignment horizontal="center"/>
    </xf>
    <xf numFmtId="44" fontId="64" fillId="16" borderId="9" xfId="3" applyFont="1" applyFill="1" applyBorder="1" applyAlignment="1">
      <alignment horizontal="center" wrapText="1"/>
    </xf>
    <xf numFmtId="13" fontId="64" fillId="26" borderId="3" xfId="3" quotePrefix="1" applyNumberFormat="1" applyFont="1" applyFill="1" applyBorder="1" applyAlignment="1">
      <alignment horizontal="center"/>
    </xf>
    <xf numFmtId="44" fontId="64" fillId="26" borderId="9" xfId="3" applyFont="1" applyFill="1" applyBorder="1" applyAlignment="1">
      <alignment horizontal="center" wrapText="1"/>
    </xf>
    <xf numFmtId="13" fontId="64" fillId="27" borderId="3" xfId="3" quotePrefix="1" applyNumberFormat="1" applyFont="1" applyFill="1" applyBorder="1" applyAlignment="1">
      <alignment horizontal="center"/>
    </xf>
    <xf numFmtId="44" fontId="64" fillId="27" borderId="9" xfId="3" applyFont="1" applyFill="1" applyBorder="1" applyAlignment="1">
      <alignment horizontal="center" wrapText="1"/>
    </xf>
    <xf numFmtId="44" fontId="106" fillId="0" borderId="14" xfId="0" applyNumberFormat="1" applyFont="1" applyBorder="1"/>
    <xf numFmtId="44" fontId="107" fillId="0" borderId="21" xfId="3" applyFont="1" applyBorder="1"/>
    <xf numFmtId="44" fontId="107" fillId="0" borderId="0" xfId="3" applyFont="1" applyBorder="1"/>
    <xf numFmtId="1" fontId="0" fillId="0" borderId="0" xfId="0" applyNumberFormat="1" applyFill="1" applyBorder="1"/>
    <xf numFmtId="0" fontId="104" fillId="0" borderId="0" xfId="0" applyFont="1" applyFill="1" applyBorder="1"/>
    <xf numFmtId="0" fontId="108" fillId="10" borderId="6" xfId="0" applyFont="1" applyFill="1" applyBorder="1" applyAlignment="1">
      <alignment horizontal="left"/>
    </xf>
    <xf numFmtId="37" fontId="109" fillId="10" borderId="2" xfId="0" applyNumberFormat="1" applyFont="1" applyFill="1" applyBorder="1"/>
    <xf numFmtId="169" fontId="109" fillId="10" borderId="2" xfId="1" applyNumberFormat="1" applyFont="1" applyFill="1" applyBorder="1"/>
    <xf numFmtId="169" fontId="44" fillId="10" borderId="7" xfId="0" applyNumberFormat="1" applyFont="1" applyFill="1" applyBorder="1"/>
    <xf numFmtId="3" fontId="47" fillId="10" borderId="5" xfId="0" applyNumberFormat="1" applyFont="1" applyFill="1" applyBorder="1" applyAlignment="1">
      <alignment horizontal="center"/>
    </xf>
    <xf numFmtId="44" fontId="47" fillId="0" borderId="0" xfId="3" applyFont="1"/>
    <xf numFmtId="42" fontId="47" fillId="0" borderId="0" xfId="3" applyNumberFormat="1" applyFont="1"/>
    <xf numFmtId="0" fontId="108" fillId="10" borderId="1" xfId="0" applyFont="1" applyFill="1" applyBorder="1" applyAlignment="1">
      <alignment horizontal="left"/>
    </xf>
    <xf numFmtId="37" fontId="109" fillId="10" borderId="0" xfId="0" applyNumberFormat="1" applyFont="1" applyFill="1" applyBorder="1"/>
    <xf numFmtId="169" fontId="109" fillId="10" borderId="0" xfId="1" applyNumberFormat="1" applyFont="1" applyFill="1" applyBorder="1"/>
    <xf numFmtId="169" fontId="44" fillId="10" borderId="3" xfId="0" applyNumberFormat="1" applyFont="1" applyFill="1" applyBorder="1"/>
    <xf numFmtId="3" fontId="47" fillId="10" borderId="12" xfId="0" applyNumberFormat="1" applyFont="1" applyFill="1" applyBorder="1" applyAlignment="1">
      <alignment horizontal="center"/>
    </xf>
    <xf numFmtId="0" fontId="110" fillId="10" borderId="10" xfId="0" applyFont="1" applyFill="1" applyBorder="1" applyAlignment="1">
      <alignment horizontal="left"/>
    </xf>
    <xf numFmtId="37" fontId="44" fillId="10" borderId="4" xfId="0" applyNumberFormat="1" applyFont="1" applyFill="1" applyBorder="1"/>
    <xf numFmtId="169" fontId="16" fillId="10" borderId="4" xfId="1" applyNumberFormat="1" applyFont="1" applyFill="1" applyBorder="1"/>
    <xf numFmtId="169" fontId="16" fillId="10" borderId="9" xfId="0" applyNumberFormat="1" applyFont="1" applyFill="1" applyBorder="1"/>
    <xf numFmtId="3" fontId="47" fillId="10" borderId="13" xfId="0" applyNumberFormat="1" applyFont="1" applyFill="1" applyBorder="1" applyAlignment="1">
      <alignment horizontal="center"/>
    </xf>
    <xf numFmtId="0" fontId="44" fillId="0" borderId="0" xfId="0" applyFont="1" applyAlignment="1">
      <alignment horizontal="left"/>
    </xf>
    <xf numFmtId="169" fontId="47" fillId="0" borderId="0" xfId="1" applyNumberFormat="1" applyFont="1"/>
    <xf numFmtId="169" fontId="47" fillId="0" borderId="0" xfId="0" applyNumberFormat="1" applyFont="1"/>
    <xf numFmtId="37" fontId="47" fillId="0" borderId="0" xfId="3" applyNumberFormat="1" applyFont="1"/>
    <xf numFmtId="169" fontId="47" fillId="0" borderId="0" xfId="3" applyNumberFormat="1" applyFont="1"/>
    <xf numFmtId="37" fontId="47" fillId="0" borderId="0" xfId="0" applyNumberFormat="1" applyFont="1"/>
    <xf numFmtId="10" fontId="47" fillId="0" borderId="0" xfId="8" applyNumberFormat="1" applyFont="1"/>
    <xf numFmtId="168" fontId="47" fillId="0" borderId="0" xfId="3" applyNumberFormat="1" applyFont="1"/>
    <xf numFmtId="0" fontId="108" fillId="14" borderId="6" xfId="0" applyFont="1" applyFill="1" applyBorder="1" applyAlignment="1">
      <alignment horizontal="left"/>
    </xf>
    <xf numFmtId="42" fontId="111" fillId="14" borderId="2" xfId="3" applyNumberFormat="1" applyFont="1" applyFill="1" applyBorder="1"/>
    <xf numFmtId="42" fontId="111" fillId="15" borderId="5" xfId="3" applyNumberFormat="1" applyFont="1" applyFill="1" applyBorder="1"/>
    <xf numFmtId="42" fontId="111" fillId="14" borderId="5" xfId="3" applyNumberFormat="1" applyFont="1" applyFill="1" applyBorder="1"/>
    <xf numFmtId="0" fontId="108" fillId="14" borderId="1" xfId="0" applyFont="1" applyFill="1" applyBorder="1" applyAlignment="1">
      <alignment horizontal="left"/>
    </xf>
    <xf numFmtId="42" fontId="111" fillId="14" borderId="0" xfId="3" applyNumberFormat="1" applyFont="1" applyFill="1" applyBorder="1"/>
    <xf numFmtId="42" fontId="111" fillId="15" borderId="12" xfId="3" applyNumberFormat="1" applyFont="1" applyFill="1" applyBorder="1"/>
    <xf numFmtId="42" fontId="111" fillId="14" borderId="12" xfId="3" applyNumberFormat="1" applyFont="1" applyFill="1" applyBorder="1"/>
    <xf numFmtId="0" fontId="112" fillId="14" borderId="1" xfId="0" applyFont="1" applyFill="1" applyBorder="1" applyAlignment="1">
      <alignment horizontal="left"/>
    </xf>
    <xf numFmtId="42" fontId="47" fillId="14" borderId="0" xfId="3" applyNumberFormat="1" applyFont="1" applyFill="1" applyBorder="1"/>
    <xf numFmtId="42" fontId="47" fillId="15" borderId="12" xfId="3" applyNumberFormat="1" applyFont="1" applyFill="1" applyBorder="1"/>
    <xf numFmtId="42" fontId="47" fillId="14" borderId="12" xfId="3" applyNumberFormat="1" applyFont="1" applyFill="1" applyBorder="1"/>
    <xf numFmtId="0" fontId="44" fillId="14" borderId="1" xfId="0" applyFont="1" applyFill="1" applyBorder="1" applyAlignment="1">
      <alignment horizontal="left"/>
    </xf>
    <xf numFmtId="0" fontId="44" fillId="14" borderId="10" xfId="0" applyFont="1" applyFill="1" applyBorder="1" applyAlignment="1">
      <alignment horizontal="left"/>
    </xf>
    <xf numFmtId="42" fontId="47" fillId="14" borderId="4" xfId="3" applyNumberFormat="1" applyFont="1" applyFill="1" applyBorder="1"/>
    <xf numFmtId="42" fontId="47" fillId="15" borderId="13" xfId="3" applyNumberFormat="1" applyFont="1" applyFill="1" applyBorder="1"/>
    <xf numFmtId="42" fontId="47" fillId="14" borderId="13" xfId="3" applyNumberFormat="1" applyFont="1" applyFill="1" applyBorder="1"/>
    <xf numFmtId="9" fontId="47" fillId="0" borderId="0" xfId="0" applyNumberFormat="1" applyFont="1"/>
    <xf numFmtId="42" fontId="47" fillId="0" borderId="0" xfId="1" applyNumberFormat="1" applyFont="1"/>
    <xf numFmtId="44" fontId="47" fillId="0" borderId="0" xfId="1" applyNumberFormat="1" applyFont="1"/>
    <xf numFmtId="0" fontId="47" fillId="16" borderId="49" xfId="0" applyFont="1" applyFill="1" applyBorder="1"/>
    <xf numFmtId="0" fontId="47" fillId="16" borderId="50" xfId="0" applyFont="1" applyFill="1" applyBorder="1" applyAlignment="1">
      <alignment horizontal="center"/>
    </xf>
    <xf numFmtId="0" fontId="47" fillId="16" borderId="51" xfId="0" applyFont="1" applyFill="1" applyBorder="1"/>
    <xf numFmtId="0" fontId="47" fillId="18" borderId="1" xfId="0" applyFont="1" applyFill="1" applyBorder="1" applyAlignment="1">
      <alignment horizontal="left"/>
    </xf>
    <xf numFmtId="0" fontId="47" fillId="18" borderId="0" xfId="0" applyFont="1" applyFill="1" applyBorder="1" applyAlignment="1">
      <alignment horizontal="center"/>
    </xf>
    <xf numFmtId="0" fontId="47" fillId="18" borderId="3" xfId="0" applyFont="1" applyFill="1" applyBorder="1"/>
    <xf numFmtId="0" fontId="47" fillId="18" borderId="1" xfId="0" applyFont="1" applyFill="1" applyBorder="1"/>
    <xf numFmtId="0" fontId="47" fillId="18" borderId="0" xfId="0" applyFont="1" applyFill="1" applyBorder="1" applyAlignment="1">
      <alignment horizontal="right"/>
    </xf>
    <xf numFmtId="42" fontId="114" fillId="18" borderId="3" xfId="3" applyNumberFormat="1" applyFont="1" applyFill="1" applyBorder="1" applyAlignment="1">
      <alignment horizontal="right"/>
    </xf>
    <xf numFmtId="0" fontId="47" fillId="18" borderId="52" xfId="0" applyFont="1" applyFill="1" applyBorder="1"/>
    <xf numFmtId="0" fontId="47" fillId="18" borderId="48" xfId="0" applyFont="1" applyFill="1" applyBorder="1" applyAlignment="1">
      <alignment horizontal="right"/>
    </xf>
    <xf numFmtId="42" fontId="114" fillId="18" borderId="53" xfId="0" applyNumberFormat="1" applyFont="1" applyFill="1" applyBorder="1" applyAlignment="1">
      <alignment horizontal="right"/>
    </xf>
    <xf numFmtId="0" fontId="47" fillId="17" borderId="1" xfId="0" applyFont="1" applyFill="1" applyBorder="1"/>
    <xf numFmtId="0" fontId="47" fillId="17" borderId="0" xfId="0" applyFont="1" applyFill="1" applyBorder="1" applyAlignment="1">
      <alignment horizontal="right"/>
    </xf>
    <xf numFmtId="42" fontId="114" fillId="17" borderId="3" xfId="0" applyNumberFormat="1" applyFont="1" applyFill="1" applyBorder="1" applyAlignment="1">
      <alignment horizontal="right"/>
    </xf>
    <xf numFmtId="0" fontId="44" fillId="0" borderId="0" xfId="0" applyFont="1" applyAlignment="1">
      <alignment horizontal="right"/>
    </xf>
    <xf numFmtId="0" fontId="47" fillId="17" borderId="10" xfId="0" applyFont="1" applyFill="1" applyBorder="1"/>
    <xf numFmtId="0" fontId="47" fillId="17" borderId="4" xfId="0" applyFont="1" applyFill="1" applyBorder="1" applyAlignment="1">
      <alignment horizontal="right"/>
    </xf>
    <xf numFmtId="44" fontId="114" fillId="17" borderId="9" xfId="0" applyNumberFormat="1" applyFont="1" applyFill="1" applyBorder="1" applyAlignment="1">
      <alignment horizontal="right"/>
    </xf>
    <xf numFmtId="0" fontId="11" fillId="3" borderId="0" xfId="0" applyFont="1" applyFill="1" applyBorder="1" applyAlignment="1">
      <alignment vertical="top" wrapText="1"/>
    </xf>
    <xf numFmtId="0" fontId="11" fillId="3" borderId="3" xfId="0" applyFont="1" applyFill="1" applyBorder="1" applyAlignment="1">
      <alignment vertical="top" wrapText="1"/>
    </xf>
    <xf numFmtId="0" fontId="11" fillId="3" borderId="1" xfId="0" applyFont="1" applyFill="1" applyBorder="1" applyAlignment="1">
      <alignment vertical="top" wrapText="1"/>
    </xf>
    <xf numFmtId="0" fontId="11" fillId="3" borderId="10" xfId="0" applyFont="1" applyFill="1" applyBorder="1" applyAlignment="1">
      <alignment vertical="top" wrapText="1"/>
    </xf>
    <xf numFmtId="0" fontId="11" fillId="3" borderId="4" xfId="0" applyFont="1" applyFill="1" applyBorder="1" applyAlignment="1">
      <alignment vertical="top" wrapText="1"/>
    </xf>
    <xf numFmtId="0" fontId="11" fillId="3" borderId="9" xfId="0" applyFont="1" applyFill="1" applyBorder="1" applyAlignment="1">
      <alignment vertical="top" wrapText="1"/>
    </xf>
    <xf numFmtId="0" fontId="47" fillId="19" borderId="1" xfId="0" applyFont="1" applyFill="1" applyBorder="1"/>
    <xf numFmtId="0" fontId="47" fillId="19" borderId="0" xfId="0" applyFont="1" applyFill="1" applyBorder="1" applyAlignment="1">
      <alignment horizontal="right"/>
    </xf>
    <xf numFmtId="42" fontId="115" fillId="19" borderId="3" xfId="0" applyNumberFormat="1" applyFont="1" applyFill="1" applyBorder="1" applyAlignment="1">
      <alignment horizontal="right"/>
    </xf>
    <xf numFmtId="0" fontId="116" fillId="26" borderId="6" xfId="0" applyFont="1" applyFill="1" applyBorder="1" applyAlignment="1">
      <alignment wrapText="1"/>
    </xf>
    <xf numFmtId="37" fontId="11" fillId="26" borderId="2" xfId="3" applyNumberFormat="1" applyFont="1" applyFill="1" applyBorder="1" applyAlignment="1">
      <alignment wrapText="1"/>
    </xf>
    <xf numFmtId="44" fontId="11" fillId="26" borderId="2" xfId="1" applyNumberFormat="1" applyFont="1" applyFill="1" applyBorder="1" applyAlignment="1">
      <alignment wrapText="1"/>
    </xf>
    <xf numFmtId="6" fontId="84" fillId="26" borderId="2" xfId="0" applyNumberFormat="1" applyFont="1" applyFill="1" applyBorder="1" applyAlignment="1">
      <alignment wrapText="1"/>
    </xf>
    <xf numFmtId="44" fontId="97" fillId="26" borderId="2" xfId="3" applyNumberFormat="1" applyFont="1" applyFill="1" applyBorder="1" applyAlignment="1">
      <alignment horizontal="center" wrapText="1"/>
    </xf>
    <xf numFmtId="167" fontId="102" fillId="26" borderId="7" xfId="3" applyNumberFormat="1" applyFont="1" applyFill="1" applyBorder="1" applyAlignment="1">
      <alignment horizontal="center" wrapText="1"/>
    </xf>
    <xf numFmtId="37" fontId="47" fillId="8" borderId="2" xfId="0" applyNumberFormat="1" applyFont="1" applyFill="1" applyBorder="1"/>
    <xf numFmtId="0" fontId="47" fillId="24" borderId="6" xfId="0" applyFont="1" applyFill="1" applyBorder="1" applyAlignment="1">
      <alignment horizontal="right"/>
    </xf>
    <xf numFmtId="37" fontId="47" fillId="8" borderId="0" xfId="0" applyNumberFormat="1" applyFont="1" applyFill="1" applyBorder="1"/>
    <xf numFmtId="0" fontId="47" fillId="24" borderId="1" xfId="0" applyFont="1" applyFill="1" applyBorder="1" applyAlignment="1">
      <alignment horizontal="right"/>
    </xf>
    <xf numFmtId="37" fontId="47" fillId="8" borderId="4" xfId="0" applyNumberFormat="1" applyFont="1" applyFill="1" applyBorder="1"/>
    <xf numFmtId="0" fontId="47" fillId="24" borderId="10" xfId="0" applyFont="1" applyFill="1" applyBorder="1" applyAlignment="1">
      <alignment horizontal="right"/>
    </xf>
    <xf numFmtId="0" fontId="7" fillId="0" borderId="0" xfId="0" applyFont="1" applyAlignment="1">
      <alignment horizontal="center"/>
    </xf>
    <xf numFmtId="42" fontId="11" fillId="0" borderId="1" xfId="3" applyNumberFormat="1" applyFont="1" applyFill="1" applyBorder="1" applyAlignment="1">
      <alignment vertical="center"/>
    </xf>
    <xf numFmtId="0" fontId="4" fillId="0" borderId="0" xfId="0" applyFont="1" applyAlignment="1">
      <alignment horizontal="center"/>
    </xf>
    <xf numFmtId="0" fontId="10" fillId="0" borderId="6" xfId="0" applyFont="1" applyBorder="1" applyAlignment="1">
      <alignment horizontal="left"/>
    </xf>
    <xf numFmtId="0" fontId="1" fillId="0" borderId="1" xfId="0" applyFont="1" applyBorder="1" applyAlignment="1">
      <alignment horizontal="center"/>
    </xf>
    <xf numFmtId="0" fontId="1" fillId="0" borderId="1" xfId="0" applyFont="1" applyFill="1" applyBorder="1" applyAlignment="1">
      <alignment horizontal="center"/>
    </xf>
    <xf numFmtId="44" fontId="1" fillId="0" borderId="3" xfId="0" applyNumberFormat="1" applyFont="1" applyFill="1" applyBorder="1"/>
    <xf numFmtId="44" fontId="1" fillId="0" borderId="0" xfId="0" applyNumberFormat="1" applyFont="1" applyFill="1" applyBorder="1"/>
    <xf numFmtId="44" fontId="1" fillId="0" borderId="40" xfId="0" applyNumberFormat="1" applyFont="1" applyFill="1" applyBorder="1"/>
    <xf numFmtId="0" fontId="1" fillId="0" borderId="3" xfId="0" applyFont="1" applyBorder="1"/>
    <xf numFmtId="44" fontId="1" fillId="0" borderId="3" xfId="0" applyNumberFormat="1" applyFont="1" applyBorder="1"/>
    <xf numFmtId="0" fontId="1" fillId="0" borderId="10" xfId="0" applyFont="1" applyBorder="1" applyAlignment="1">
      <alignment horizontal="center"/>
    </xf>
    <xf numFmtId="44" fontId="1" fillId="0" borderId="9" xfId="0" applyNumberFormat="1" applyFont="1" applyBorder="1"/>
    <xf numFmtId="0" fontId="1" fillId="0" borderId="0" xfId="0" applyFont="1" applyAlignment="1">
      <alignment horizontal="center"/>
    </xf>
    <xf numFmtId="169" fontId="1" fillId="0" borderId="0" xfId="0" applyNumberFormat="1" applyFont="1"/>
    <xf numFmtId="0" fontId="1" fillId="0" borderId="4" xfId="0" applyFont="1" applyFill="1" applyBorder="1"/>
    <xf numFmtId="0" fontId="1" fillId="0" borderId="0" xfId="0" applyFont="1"/>
    <xf numFmtId="43" fontId="1" fillId="0" borderId="0" xfId="0" applyNumberFormat="1" applyFont="1"/>
    <xf numFmtId="0" fontId="1" fillId="0" borderId="0" xfId="0" applyFont="1" applyAlignment="1">
      <alignment horizontal="right"/>
    </xf>
    <xf numFmtId="43" fontId="1" fillId="0" borderId="0" xfId="0" applyNumberFormat="1" applyFont="1" applyBorder="1"/>
    <xf numFmtId="0" fontId="1" fillId="0" borderId="0" xfId="0" applyFont="1" applyBorder="1"/>
    <xf numFmtId="0" fontId="117" fillId="0" borderId="1" xfId="0" applyFont="1" applyBorder="1"/>
    <xf numFmtId="42" fontId="117" fillId="0" borderId="14" xfId="0" applyNumberFormat="1" applyFont="1" applyBorder="1"/>
    <xf numFmtId="44" fontId="112" fillId="0" borderId="0" xfId="3" applyFont="1" applyBorder="1"/>
    <xf numFmtId="0" fontId="112" fillId="0" borderId="1" xfId="0" applyFont="1" applyBorder="1" applyAlignment="1">
      <alignment horizontal="left"/>
    </xf>
    <xf numFmtId="42" fontId="47" fillId="0" borderId="14" xfId="0" applyNumberFormat="1" applyFont="1" applyBorder="1" applyAlignment="1">
      <alignment horizontal="left"/>
    </xf>
    <xf numFmtId="42" fontId="112" fillId="0" borderId="27" xfId="3" applyNumberFormat="1" applyFont="1" applyBorder="1"/>
    <xf numFmtId="42" fontId="112" fillId="0" borderId="26" xfId="3" applyNumberFormat="1" applyFont="1" applyBorder="1"/>
    <xf numFmtId="0" fontId="118" fillId="0" borderId="1" xfId="0" applyFont="1" applyBorder="1" applyAlignment="1">
      <alignment horizontal="center" vertical="top"/>
    </xf>
    <xf numFmtId="0" fontId="44" fillId="0" borderId="1" xfId="0" applyFont="1" applyBorder="1" applyAlignment="1">
      <alignment horizontal="right"/>
    </xf>
    <xf numFmtId="42" fontId="16" fillId="0" borderId="14" xfId="0" applyNumberFormat="1" applyFont="1" applyBorder="1" applyAlignment="1">
      <alignment horizontal="right"/>
    </xf>
    <xf numFmtId="42" fontId="44" fillId="0" borderId="26" xfId="3" applyNumberFormat="1" applyFont="1" applyBorder="1"/>
    <xf numFmtId="44" fontId="47" fillId="0" borderId="1" xfId="0" applyNumberFormat="1" applyFont="1" applyBorder="1"/>
    <xf numFmtId="42" fontId="47" fillId="0" borderId="14" xfId="0" applyNumberFormat="1" applyFont="1" applyBorder="1"/>
    <xf numFmtId="42" fontId="119" fillId="0" borderId="14" xfId="0" applyNumberFormat="1" applyFont="1" applyBorder="1"/>
    <xf numFmtId="0" fontId="47" fillId="0" borderId="1" xfId="0" applyFont="1" applyBorder="1"/>
    <xf numFmtId="44" fontId="112" fillId="0" borderId="26" xfId="3" applyNumberFormat="1" applyFont="1" applyBorder="1"/>
    <xf numFmtId="42" fontId="120" fillId="0" borderId="26" xfId="3" applyNumberFormat="1" applyFont="1" applyFill="1" applyBorder="1"/>
    <xf numFmtId="0" fontId="47" fillId="0" borderId="1" xfId="0" applyFont="1" applyBorder="1" applyAlignment="1">
      <alignment horizontal="left"/>
    </xf>
    <xf numFmtId="42" fontId="112" fillId="0" borderId="26" xfId="0" applyNumberFormat="1" applyFont="1" applyBorder="1"/>
    <xf numFmtId="42" fontId="44" fillId="0" borderId="26" xfId="0" applyNumberFormat="1" applyFont="1" applyBorder="1"/>
    <xf numFmtId="42" fontId="16" fillId="0" borderId="14" xfId="0" applyNumberFormat="1" applyFont="1" applyBorder="1"/>
    <xf numFmtId="0" fontId="44" fillId="0" borderId="1" xfId="0" applyFont="1" applyBorder="1"/>
    <xf numFmtId="42" fontId="44" fillId="6" borderId="28" xfId="0" applyNumberFormat="1" applyFont="1" applyFill="1" applyBorder="1"/>
    <xf numFmtId="44" fontId="121" fillId="8" borderId="17" xfId="3" applyFont="1" applyFill="1" applyBorder="1" applyAlignment="1">
      <alignment horizontal="center"/>
    </xf>
    <xf numFmtId="44" fontId="121" fillId="25" borderId="17" xfId="3" applyFont="1" applyFill="1" applyBorder="1" applyAlignment="1">
      <alignment horizontal="center"/>
    </xf>
    <xf numFmtId="6" fontId="121" fillId="16" borderId="17" xfId="3" applyNumberFormat="1" applyFont="1" applyFill="1" applyBorder="1" applyAlignment="1">
      <alignment horizontal="center"/>
    </xf>
    <xf numFmtId="6" fontId="121" fillId="26" borderId="17" xfId="3" applyNumberFormat="1" applyFont="1" applyFill="1" applyBorder="1" applyAlignment="1">
      <alignment horizontal="center"/>
    </xf>
    <xf numFmtId="6" fontId="121" fillId="27" borderId="17" xfId="3" applyNumberFormat="1" applyFont="1" applyFill="1" applyBorder="1" applyAlignment="1">
      <alignment horizontal="center"/>
    </xf>
    <xf numFmtId="44" fontId="121" fillId="8" borderId="19" xfId="3" applyFont="1" applyFill="1" applyBorder="1" applyAlignment="1">
      <alignment horizontal="center"/>
    </xf>
    <xf numFmtId="44" fontId="121" fillId="25" borderId="19" xfId="3" applyFont="1" applyFill="1" applyBorder="1" applyAlignment="1">
      <alignment horizontal="center"/>
    </xf>
    <xf numFmtId="44" fontId="121" fillId="16" borderId="19" xfId="3" applyFont="1" applyFill="1" applyBorder="1" applyAlignment="1">
      <alignment horizontal="center"/>
    </xf>
    <xf numFmtId="44" fontId="121" fillId="26" borderId="19" xfId="3" applyFont="1" applyFill="1" applyBorder="1" applyAlignment="1">
      <alignment horizontal="center"/>
    </xf>
    <xf numFmtId="44" fontId="121" fillId="27" borderId="19" xfId="3" applyFont="1" applyFill="1" applyBorder="1" applyAlignment="1">
      <alignment horizontal="center"/>
    </xf>
    <xf numFmtId="44" fontId="29" fillId="0" borderId="0" xfId="3" applyNumberFormat="1" applyFont="1" applyFill="1" applyBorder="1"/>
    <xf numFmtId="0" fontId="10" fillId="0" borderId="6" xfId="0" applyFont="1" applyBorder="1"/>
    <xf numFmtId="44" fontId="32" fillId="0" borderId="0" xfId="0" applyNumberFormat="1" applyFont="1" applyAlignment="1">
      <alignment horizontal="center"/>
    </xf>
    <xf numFmtId="44" fontId="122" fillId="0" borderId="0" xfId="3" applyFont="1" applyFill="1" applyAlignment="1">
      <alignment horizontal="center"/>
    </xf>
    <xf numFmtId="44" fontId="123" fillId="0" borderId="0" xfId="0" applyNumberFormat="1" applyFont="1"/>
    <xf numFmtId="42" fontId="42" fillId="0" borderId="14" xfId="0" applyNumberFormat="1" applyFont="1" applyBorder="1"/>
    <xf numFmtId="42" fontId="29" fillId="0" borderId="14" xfId="3" applyNumberFormat="1" applyFont="1" applyBorder="1"/>
    <xf numFmtId="42" fontId="0" fillId="0" borderId="14" xfId="0" applyNumberFormat="1" applyBorder="1"/>
    <xf numFmtId="42" fontId="0" fillId="0" borderId="15" xfId="0" applyNumberFormat="1" applyBorder="1"/>
    <xf numFmtId="42" fontId="29" fillId="0" borderId="16" xfId="3" applyNumberFormat="1" applyFont="1" applyBorder="1"/>
    <xf numFmtId="42" fontId="42" fillId="0" borderId="14" xfId="0" applyNumberFormat="1" applyFont="1" applyFill="1" applyBorder="1" applyAlignment="1">
      <alignment horizontal="right"/>
    </xf>
    <xf numFmtId="42" fontId="42" fillId="0" borderId="15" xfId="0" applyNumberFormat="1" applyFont="1" applyFill="1" applyBorder="1" applyAlignment="1">
      <alignment horizontal="right"/>
    </xf>
    <xf numFmtId="42" fontId="29" fillId="0" borderId="17" xfId="3" applyNumberFormat="1" applyFont="1" applyFill="1" applyBorder="1"/>
    <xf numFmtId="42" fontId="43" fillId="0" borderId="0" xfId="0" applyNumberFormat="1" applyFont="1" applyBorder="1"/>
    <xf numFmtId="42" fontId="42" fillId="0" borderId="18" xfId="3" applyNumberFormat="1" applyFont="1" applyFill="1" applyBorder="1"/>
    <xf numFmtId="42" fontId="42" fillId="0" borderId="18" xfId="0" applyNumberFormat="1" applyFont="1" applyBorder="1"/>
    <xf numFmtId="42" fontId="29" fillId="0" borderId="18" xfId="3" applyNumberFormat="1" applyFont="1" applyFill="1" applyBorder="1"/>
    <xf numFmtId="42" fontId="29" fillId="0" borderId="19" xfId="3" applyNumberFormat="1" applyFont="1" applyFill="1" applyBorder="1"/>
    <xf numFmtId="44" fontId="112" fillId="0" borderId="66" xfId="3" applyFont="1" applyBorder="1"/>
    <xf numFmtId="44" fontId="112" fillId="0" borderId="67" xfId="3" applyFont="1" applyBorder="1"/>
    <xf numFmtId="1" fontId="56" fillId="24" borderId="2" xfId="0" applyNumberFormat="1" applyFont="1" applyFill="1" applyBorder="1"/>
    <xf numFmtId="0" fontId="56" fillId="24" borderId="2" xfId="0" applyFont="1" applyFill="1" applyBorder="1" applyAlignment="1">
      <alignment horizontal="center" vertical="center"/>
    </xf>
    <xf numFmtId="44" fontId="56" fillId="28" borderId="0" xfId="3" applyFont="1" applyFill="1"/>
    <xf numFmtId="42" fontId="56" fillId="0" borderId="0" xfId="3" applyNumberFormat="1" applyFont="1"/>
    <xf numFmtId="167" fontId="56" fillId="0" borderId="0" xfId="0" applyNumberFormat="1" applyFont="1"/>
    <xf numFmtId="0" fontId="56" fillId="0" borderId="11" xfId="0" applyFont="1" applyBorder="1"/>
    <xf numFmtId="0" fontId="56" fillId="0" borderId="0" xfId="0" applyFont="1"/>
    <xf numFmtId="44" fontId="56" fillId="0" borderId="0" xfId="3" applyFont="1" applyBorder="1"/>
    <xf numFmtId="0" fontId="56" fillId="0" borderId="5" xfId="0" applyFont="1" applyBorder="1" applyAlignment="1">
      <alignment horizontal="center"/>
    </xf>
    <xf numFmtId="44" fontId="56" fillId="0" borderId="0" xfId="0" applyNumberFormat="1" applyFont="1" applyBorder="1"/>
    <xf numFmtId="1" fontId="56" fillId="24" borderId="0" xfId="0" applyNumberFormat="1" applyFont="1" applyFill="1" applyBorder="1"/>
    <xf numFmtId="0" fontId="56" fillId="24" borderId="0" xfId="0" applyFont="1" applyFill="1" applyBorder="1"/>
    <xf numFmtId="44" fontId="56" fillId="0" borderId="12" xfId="0" applyNumberFormat="1" applyFont="1" applyBorder="1"/>
    <xf numFmtId="44" fontId="56" fillId="28" borderId="0" xfId="0" applyNumberFormat="1" applyFont="1" applyFill="1" applyBorder="1"/>
    <xf numFmtId="0" fontId="124" fillId="0" borderId="0" xfId="0" applyFont="1" applyFill="1" applyBorder="1"/>
    <xf numFmtId="0" fontId="56" fillId="0" borderId="0" xfId="0" applyFont="1" applyBorder="1"/>
    <xf numFmtId="44" fontId="56" fillId="0" borderId="0" xfId="0" applyNumberFormat="1" applyFont="1"/>
    <xf numFmtId="0" fontId="124" fillId="0" borderId="0" xfId="0" applyFont="1" applyFill="1"/>
    <xf numFmtId="0" fontId="56" fillId="0" borderId="13" xfId="0" applyFont="1" applyBorder="1"/>
    <xf numFmtId="44" fontId="56" fillId="0" borderId="4" xfId="3" applyFont="1" applyBorder="1"/>
    <xf numFmtId="0" fontId="125" fillId="24" borderId="2" xfId="0" applyFont="1" applyFill="1" applyBorder="1" applyAlignment="1">
      <alignment horizontal="center" wrapText="1"/>
    </xf>
    <xf numFmtId="44" fontId="56" fillId="29" borderId="0" xfId="3" applyFont="1" applyFill="1" applyBorder="1"/>
    <xf numFmtId="42" fontId="56" fillId="0" borderId="2" xfId="3" applyNumberFormat="1" applyFont="1" applyBorder="1"/>
    <xf numFmtId="167" fontId="56" fillId="0" borderId="7" xfId="0" applyNumberFormat="1" applyFont="1" applyBorder="1"/>
    <xf numFmtId="9" fontId="126" fillId="0" borderId="0" xfId="8" applyFont="1" applyFill="1" applyAlignment="1">
      <alignment horizontal="center"/>
    </xf>
    <xf numFmtId="0" fontId="124" fillId="0" borderId="0" xfId="0" applyFont="1"/>
    <xf numFmtId="0" fontId="56" fillId="24" borderId="0" xfId="0" applyFont="1" applyFill="1" applyBorder="1" applyAlignment="1">
      <alignment wrapText="1"/>
    </xf>
    <xf numFmtId="42" fontId="56" fillId="0" borderId="0" xfId="3" applyNumberFormat="1" applyFont="1" applyBorder="1"/>
    <xf numFmtId="167" fontId="56" fillId="0" borderId="3" xfId="0" applyNumberFormat="1" applyFont="1" applyBorder="1"/>
    <xf numFmtId="0" fontId="56" fillId="0" borderId="0" xfId="0" applyFont="1" applyFill="1"/>
    <xf numFmtId="44" fontId="56" fillId="29" borderId="0" xfId="0" applyNumberFormat="1" applyFont="1" applyFill="1" applyBorder="1"/>
    <xf numFmtId="0" fontId="127" fillId="0" borderId="0" xfId="0" applyFont="1"/>
    <xf numFmtId="1" fontId="56" fillId="24" borderId="4" xfId="0" applyNumberFormat="1" applyFont="1" applyFill="1" applyBorder="1"/>
    <xf numFmtId="0" fontId="56" fillId="24" borderId="4" xfId="0" applyFont="1" applyFill="1" applyBorder="1"/>
    <xf numFmtId="44" fontId="56" fillId="29" borderId="4" xfId="3" applyFont="1" applyFill="1" applyBorder="1"/>
    <xf numFmtId="42" fontId="56" fillId="0" borderId="4" xfId="3" applyNumberFormat="1" applyFont="1" applyBorder="1"/>
    <xf numFmtId="44" fontId="56" fillId="0" borderId="9" xfId="0" applyNumberFormat="1" applyFont="1" applyBorder="1"/>
    <xf numFmtId="44" fontId="56" fillId="0" borderId="51" xfId="3" applyFont="1" applyFill="1" applyBorder="1"/>
    <xf numFmtId="44" fontId="56" fillId="17" borderId="0" xfId="3" applyFont="1" applyFill="1" applyBorder="1"/>
    <xf numFmtId="44" fontId="56" fillId="17" borderId="0" xfId="0" applyNumberFormat="1" applyFont="1" applyFill="1" applyBorder="1"/>
    <xf numFmtId="44" fontId="56" fillId="17" borderId="4" xfId="3" applyFont="1" applyFill="1" applyBorder="1"/>
    <xf numFmtId="44" fontId="56" fillId="0" borderId="3" xfId="3" applyFont="1" applyFill="1" applyBorder="1"/>
    <xf numFmtId="44" fontId="56" fillId="0" borderId="2" xfId="3" applyFont="1" applyBorder="1"/>
    <xf numFmtId="0" fontId="56" fillId="0" borderId="0" xfId="0" applyFont="1" applyAlignment="1">
      <alignment horizontal="center"/>
    </xf>
    <xf numFmtId="44" fontId="56" fillId="28" borderId="0" xfId="3" applyFont="1" applyFill="1" applyBorder="1"/>
    <xf numFmtId="0" fontId="11" fillId="0" borderId="46" xfId="0" applyFont="1" applyFill="1" applyBorder="1" applyAlignment="1">
      <alignment vertical="center"/>
    </xf>
    <xf numFmtId="42" fontId="11" fillId="0" borderId="31" xfId="0" applyNumberFormat="1" applyFont="1" applyFill="1" applyBorder="1" applyAlignment="1">
      <alignment vertical="center"/>
    </xf>
    <xf numFmtId="42" fontId="11" fillId="0" borderId="11" xfId="3" applyNumberFormat="1" applyFont="1" applyFill="1" applyBorder="1" applyAlignment="1">
      <alignment vertical="center"/>
    </xf>
    <xf numFmtId="42" fontId="11" fillId="0" borderId="31" xfId="3" applyNumberFormat="1" applyFont="1" applyFill="1" applyBorder="1" applyAlignment="1">
      <alignment vertical="center"/>
    </xf>
    <xf numFmtId="10" fontId="11" fillId="0" borderId="31" xfId="8" applyNumberFormat="1" applyFont="1" applyFill="1" applyBorder="1" applyAlignment="1">
      <alignment horizontal="right" vertical="center"/>
    </xf>
    <xf numFmtId="0" fontId="11" fillId="0" borderId="62" xfId="0" applyFont="1" applyFill="1" applyBorder="1" applyAlignment="1">
      <alignment vertical="center"/>
    </xf>
    <xf numFmtId="42" fontId="11" fillId="0" borderId="40" xfId="0" applyNumberFormat="1" applyFont="1" applyFill="1" applyBorder="1" applyAlignment="1">
      <alignment vertical="center"/>
    </xf>
    <xf numFmtId="42" fontId="7" fillId="0" borderId="0" xfId="0" applyNumberFormat="1" applyFont="1" applyFill="1" applyAlignment="1">
      <alignment vertical="center"/>
    </xf>
    <xf numFmtId="42" fontId="11" fillId="0" borderId="40" xfId="3" applyNumberFormat="1" applyFont="1" applyFill="1" applyBorder="1" applyAlignment="1">
      <alignment vertical="center"/>
    </xf>
    <xf numFmtId="42" fontId="11" fillId="0" borderId="0" xfId="3" applyNumberFormat="1" applyFont="1" applyFill="1" applyBorder="1" applyAlignment="1">
      <alignment vertical="center"/>
    </xf>
    <xf numFmtId="10" fontId="11" fillId="0" borderId="0" xfId="8" applyNumberFormat="1" applyFont="1" applyFill="1" applyBorder="1" applyAlignment="1">
      <alignment horizontal="right" vertical="center"/>
    </xf>
    <xf numFmtId="6" fontId="11" fillId="0" borderId="31" xfId="3" applyNumberFormat="1" applyFont="1" applyFill="1" applyBorder="1" applyAlignment="1">
      <alignment vertical="top"/>
    </xf>
    <xf numFmtId="44" fontId="56" fillId="12" borderId="2" xfId="3" applyFont="1" applyFill="1" applyBorder="1"/>
    <xf numFmtId="44" fontId="56" fillId="12" borderId="0" xfId="3" applyFont="1" applyFill="1" applyBorder="1"/>
    <xf numFmtId="44" fontId="56" fillId="12" borderId="4" xfId="3" applyFont="1" applyFill="1" applyBorder="1"/>
    <xf numFmtId="0" fontId="128" fillId="0" borderId="1" xfId="0" applyFont="1" applyBorder="1" applyAlignment="1">
      <alignment horizontal="left" vertical="center" wrapText="1"/>
    </xf>
    <xf numFmtId="0" fontId="36" fillId="5" borderId="2" xfId="0" applyFont="1" applyFill="1" applyBorder="1"/>
    <xf numFmtId="42" fontId="64" fillId="5" borderId="0" xfId="0" applyNumberFormat="1" applyFont="1" applyFill="1" applyBorder="1" applyAlignment="1">
      <alignment horizontal="center"/>
    </xf>
    <xf numFmtId="42" fontId="117" fillId="0" borderId="0" xfId="0" applyNumberFormat="1" applyFont="1" applyBorder="1"/>
    <xf numFmtId="42" fontId="47" fillId="0" borderId="0" xfId="0" applyNumberFormat="1" applyFont="1" applyBorder="1" applyAlignment="1">
      <alignment horizontal="left"/>
    </xf>
    <xf numFmtId="42" fontId="16" fillId="0" borderId="0" xfId="0" applyNumberFormat="1" applyFont="1" applyBorder="1" applyAlignment="1">
      <alignment horizontal="right"/>
    </xf>
    <xf numFmtId="42" fontId="119" fillId="0" borderId="0" xfId="0" applyNumberFormat="1" applyFont="1" applyBorder="1"/>
    <xf numFmtId="42" fontId="16" fillId="0" borderId="0" xfId="0" applyNumberFormat="1" applyFont="1" applyBorder="1"/>
    <xf numFmtId="42" fontId="41" fillId="0" borderId="0" xfId="0" applyNumberFormat="1" applyFont="1" applyBorder="1"/>
    <xf numFmtId="42" fontId="41" fillId="0" borderId="4" xfId="0" applyNumberFormat="1" applyFont="1" applyBorder="1"/>
    <xf numFmtId="44" fontId="21" fillId="0" borderId="2" xfId="3" applyFont="1" applyBorder="1"/>
    <xf numFmtId="42" fontId="43" fillId="0" borderId="0" xfId="3" applyNumberFormat="1" applyFont="1" applyBorder="1" applyAlignment="1">
      <alignment vertical="center"/>
    </xf>
    <xf numFmtId="42" fontId="43" fillId="0" borderId="0" xfId="0" applyNumberFormat="1" applyFont="1" applyBorder="1" applyAlignment="1">
      <alignment horizontal="right" vertical="center"/>
    </xf>
    <xf numFmtId="42" fontId="43" fillId="0" borderId="4" xfId="0" applyNumberFormat="1" applyFont="1" applyBorder="1" applyAlignment="1">
      <alignment horizontal="right" vertical="center"/>
    </xf>
    <xf numFmtId="42" fontId="63" fillId="0" borderId="0" xfId="0" applyNumberFormat="1" applyFont="1" applyBorder="1"/>
    <xf numFmtId="42" fontId="43" fillId="0" borderId="4" xfId="3" applyNumberFormat="1" applyFont="1" applyFill="1" applyBorder="1"/>
    <xf numFmtId="42" fontId="64" fillId="5" borderId="3" xfId="0" applyNumberFormat="1" applyFont="1" applyFill="1" applyBorder="1" applyAlignment="1">
      <alignment horizontal="center"/>
    </xf>
    <xf numFmtId="0" fontId="47" fillId="0" borderId="1" xfId="0" applyFont="1" applyBorder="1" applyAlignment="1">
      <alignment horizontal="left" wrapText="1"/>
    </xf>
    <xf numFmtId="0" fontId="13" fillId="0" borderId="63" xfId="0" applyFont="1" applyFill="1" applyBorder="1" applyAlignment="1">
      <alignment horizontal="right"/>
    </xf>
    <xf numFmtId="0" fontId="13" fillId="0" borderId="9" xfId="0" applyFont="1" applyFill="1" applyBorder="1" applyAlignment="1">
      <alignment horizontal="right"/>
    </xf>
    <xf numFmtId="0" fontId="13" fillId="0" borderId="40" xfId="0" applyFont="1" applyFill="1" applyBorder="1"/>
    <xf numFmtId="0" fontId="13" fillId="0" borderId="3" xfId="0" applyFont="1" applyFill="1" applyBorder="1" applyAlignment="1">
      <alignment horizontal="right"/>
    </xf>
    <xf numFmtId="0" fontId="13" fillId="0" borderId="7" xfId="0" applyFont="1" applyFill="1" applyBorder="1" applyAlignment="1">
      <alignment horizontal="right"/>
    </xf>
    <xf numFmtId="0" fontId="13" fillId="0" borderId="4" xfId="0" applyFont="1" applyFill="1" applyBorder="1"/>
    <xf numFmtId="44" fontId="7" fillId="0" borderId="7" xfId="3" applyFont="1" applyBorder="1"/>
    <xf numFmtId="44" fontId="107" fillId="0" borderId="3" xfId="3" applyFont="1" applyBorder="1"/>
    <xf numFmtId="10" fontId="47" fillId="0" borderId="3" xfId="3" applyNumberFormat="1" applyFont="1" applyFill="1" applyBorder="1"/>
    <xf numFmtId="10" fontId="11" fillId="0" borderId="3" xfId="3" applyNumberFormat="1" applyFont="1" applyFill="1" applyBorder="1"/>
    <xf numFmtId="9" fontId="70" fillId="0" borderId="3" xfId="8" applyFont="1" applyFill="1" applyBorder="1" applyAlignment="1">
      <alignment horizontal="right"/>
    </xf>
    <xf numFmtId="10" fontId="11" fillId="0" borderId="3" xfId="8" applyNumberFormat="1" applyFont="1" applyFill="1" applyBorder="1" applyAlignment="1">
      <alignment horizontal="right"/>
    </xf>
    <xf numFmtId="10" fontId="11" fillId="0" borderId="33" xfId="8" applyNumberFormat="1" applyFont="1" applyFill="1" applyBorder="1" applyAlignment="1">
      <alignment horizontal="right" vertical="top"/>
    </xf>
    <xf numFmtId="10" fontId="12" fillId="8" borderId="33" xfId="8" applyNumberFormat="1" applyFont="1" applyFill="1" applyBorder="1" applyAlignment="1">
      <alignment horizontal="right" vertical="top"/>
    </xf>
    <xf numFmtId="10" fontId="11" fillId="0" borderId="3" xfId="8" applyNumberFormat="1" applyFont="1" applyFill="1" applyBorder="1" applyAlignment="1">
      <alignment horizontal="right" vertical="top"/>
    </xf>
    <xf numFmtId="10" fontId="12" fillId="0" borderId="3" xfId="8" applyNumberFormat="1" applyFont="1" applyFill="1" applyBorder="1" applyAlignment="1">
      <alignment horizontal="right"/>
    </xf>
    <xf numFmtId="44" fontId="56" fillId="0" borderId="0" xfId="0" applyNumberFormat="1" applyFont="1" applyFill="1" applyBorder="1"/>
    <xf numFmtId="0" fontId="1" fillId="0" borderId="0" xfId="0" applyFont="1" applyFill="1"/>
    <xf numFmtId="0" fontId="0" fillId="0" borderId="0" xfId="0" applyFill="1" applyAlignment="1">
      <alignment horizontal="center"/>
    </xf>
    <xf numFmtId="44" fontId="56" fillId="0" borderId="0" xfId="0" applyNumberFormat="1" applyFont="1" applyFill="1"/>
    <xf numFmtId="0" fontId="1" fillId="0" borderId="0" xfId="0" applyFont="1" applyFill="1" applyAlignment="1">
      <alignment horizontal="center"/>
    </xf>
    <xf numFmtId="44" fontId="0" fillId="0" borderId="0" xfId="0" applyNumberFormat="1" applyFill="1"/>
    <xf numFmtId="44" fontId="10" fillId="0" borderId="2" xfId="3" applyFont="1" applyBorder="1"/>
    <xf numFmtId="42" fontId="4" fillId="0" borderId="0" xfId="0" applyNumberFormat="1" applyFont="1"/>
    <xf numFmtId="10" fontId="0" fillId="0" borderId="0" xfId="0" applyNumberFormat="1" applyAlignment="1">
      <alignment horizontal="center"/>
    </xf>
    <xf numFmtId="0" fontId="129" fillId="0" borderId="0" xfId="0" applyFont="1" applyBorder="1" applyAlignment="1">
      <alignment horizontal="center"/>
    </xf>
    <xf numFmtId="0" fontId="0" fillId="0" borderId="0" xfId="0" applyBorder="1" applyAlignment="1">
      <alignment horizontal="center" vertical="center"/>
    </xf>
    <xf numFmtId="0" fontId="0" fillId="0" borderId="0" xfId="0" applyAlignment="1">
      <alignment horizontal="center" vertical="center"/>
    </xf>
    <xf numFmtId="10" fontId="0" fillId="0" borderId="0" xfId="0" applyNumberFormat="1" applyAlignment="1">
      <alignment horizontal="center" vertical="center"/>
    </xf>
    <xf numFmtId="0" fontId="1" fillId="0" borderId="0" xfId="0" applyFont="1" applyAlignment="1">
      <alignment horizontal="left" vertical="top"/>
    </xf>
    <xf numFmtId="44" fontId="121" fillId="27" borderId="17" xfId="3" applyNumberFormat="1" applyFont="1" applyFill="1" applyBorder="1" applyAlignment="1">
      <alignment horizontal="center"/>
    </xf>
    <xf numFmtId="13" fontId="64" fillId="5" borderId="14" xfId="0" applyNumberFormat="1" applyFont="1" applyFill="1" applyBorder="1" applyAlignment="1">
      <alignment horizontal="center"/>
    </xf>
    <xf numFmtId="0" fontId="11" fillId="0" borderId="46" xfId="0" applyFont="1" applyFill="1" applyBorder="1" applyAlignment="1">
      <alignment vertical="top" wrapText="1"/>
    </xf>
    <xf numFmtId="13" fontId="64" fillId="5" borderId="14" xfId="0" quotePrefix="1" applyNumberFormat="1" applyFont="1" applyFill="1" applyBorder="1" applyAlignment="1">
      <alignment horizontal="center"/>
    </xf>
    <xf numFmtId="14" fontId="64" fillId="5" borderId="4" xfId="0" applyNumberFormat="1" applyFont="1" applyFill="1" applyBorder="1" applyAlignment="1">
      <alignment horizontal="center"/>
    </xf>
    <xf numFmtId="0" fontId="77" fillId="0" borderId="30" xfId="0" applyFont="1" applyFill="1" applyBorder="1" applyAlignment="1">
      <alignment vertical="top"/>
    </xf>
    <xf numFmtId="0" fontId="13" fillId="0" borderId="0" xfId="0" applyFont="1" applyFill="1"/>
    <xf numFmtId="43" fontId="0" fillId="0" borderId="0" xfId="0" applyNumberFormat="1" applyFill="1" applyBorder="1"/>
    <xf numFmtId="42" fontId="12" fillId="14" borderId="40" xfId="0" applyNumberFormat="1" applyFont="1" applyFill="1" applyBorder="1"/>
    <xf numFmtId="0" fontId="12" fillId="8" borderId="42" xfId="0" applyFont="1" applyFill="1" applyBorder="1" applyAlignment="1">
      <alignment horizontal="right"/>
    </xf>
    <xf numFmtId="42" fontId="12" fillId="8" borderId="36" xfId="0" applyNumberFormat="1" applyFont="1" applyFill="1" applyBorder="1"/>
    <xf numFmtId="42" fontId="12" fillId="8" borderId="8" xfId="3" applyNumberFormat="1" applyFont="1" applyFill="1" applyBorder="1"/>
    <xf numFmtId="42" fontId="12" fillId="8" borderId="36" xfId="3" applyNumberFormat="1" applyFont="1" applyFill="1" applyBorder="1"/>
    <xf numFmtId="42" fontId="12" fillId="8" borderId="37" xfId="3" applyNumberFormat="1" applyFont="1" applyFill="1" applyBorder="1"/>
    <xf numFmtId="10" fontId="12" fillId="8" borderId="63" xfId="8" applyNumberFormat="1" applyFont="1" applyFill="1" applyBorder="1" applyAlignment="1">
      <alignment horizontal="right"/>
    </xf>
    <xf numFmtId="0" fontId="12" fillId="14" borderId="34" xfId="0" applyFont="1" applyFill="1" applyBorder="1" applyAlignment="1">
      <alignment horizontal="right" wrapText="1"/>
    </xf>
    <xf numFmtId="42" fontId="12" fillId="14" borderId="39" xfId="3" applyNumberFormat="1" applyFont="1" applyFill="1" applyBorder="1"/>
    <xf numFmtId="42" fontId="12" fillId="14" borderId="40" xfId="3" applyNumberFormat="1" applyFont="1" applyFill="1" applyBorder="1"/>
    <xf numFmtId="42" fontId="12" fillId="14" borderId="41" xfId="3" applyNumberFormat="1" applyFont="1" applyFill="1" applyBorder="1"/>
    <xf numFmtId="0" fontId="12" fillId="0" borderId="0" xfId="0" applyFont="1" applyFill="1" applyBorder="1" applyAlignment="1">
      <alignment vertical="center" wrapText="1"/>
    </xf>
    <xf numFmtId="0" fontId="59" fillId="0" borderId="2" xfId="0" applyFont="1" applyBorder="1" applyAlignment="1">
      <alignment horizontal="left" vertical="top" wrapText="1"/>
    </xf>
    <xf numFmtId="168" fontId="59" fillId="0" borderId="0" xfId="3" applyNumberFormat="1" applyFont="1" applyAlignment="1">
      <alignment vertical="center"/>
    </xf>
    <xf numFmtId="0" fontId="59" fillId="0" borderId="0" xfId="0" applyFont="1" applyFill="1" applyAlignment="1">
      <alignment horizontal="right"/>
    </xf>
    <xf numFmtId="42" fontId="11" fillId="0" borderId="0" xfId="0" applyNumberFormat="1" applyFont="1" applyFill="1" applyBorder="1" applyAlignment="1">
      <alignment vertical="center"/>
    </xf>
    <xf numFmtId="168" fontId="11" fillId="0" borderId="0" xfId="3" applyNumberFormat="1" applyFont="1" applyFill="1" applyBorder="1" applyAlignment="1">
      <alignment vertical="center"/>
    </xf>
    <xf numFmtId="0" fontId="11" fillId="0" borderId="1" xfId="0" applyFont="1" applyFill="1" applyBorder="1" applyAlignment="1">
      <alignment vertical="center"/>
    </xf>
    <xf numFmtId="10" fontId="11" fillId="0" borderId="3" xfId="8" applyNumberFormat="1" applyFont="1" applyFill="1" applyBorder="1" applyAlignment="1">
      <alignment horizontal="right" vertical="center"/>
    </xf>
    <xf numFmtId="10" fontId="12" fillId="14" borderId="45" xfId="8" applyNumberFormat="1" applyFont="1" applyFill="1" applyBorder="1" applyAlignment="1">
      <alignment horizontal="right"/>
    </xf>
    <xf numFmtId="0" fontId="11" fillId="0" borderId="46" xfId="0" applyFont="1" applyFill="1" applyBorder="1" applyAlignment="1">
      <alignment horizontal="left" vertical="center" wrapText="1"/>
    </xf>
    <xf numFmtId="0" fontId="11" fillId="0" borderId="46" xfId="0" applyFont="1" applyFill="1" applyBorder="1" applyAlignment="1">
      <alignment vertical="center" wrapText="1"/>
    </xf>
    <xf numFmtId="0" fontId="131" fillId="17" borderId="6" xfId="0" applyFont="1" applyFill="1" applyBorder="1" applyAlignment="1">
      <alignment horizontal="left"/>
    </xf>
    <xf numFmtId="37" fontId="122" fillId="17" borderId="2" xfId="0" applyNumberFormat="1" applyFont="1" applyFill="1" applyBorder="1"/>
    <xf numFmtId="169" fontId="122" fillId="17" borderId="2" xfId="1" applyNumberFormat="1" applyFont="1" applyFill="1" applyBorder="1"/>
    <xf numFmtId="169" fontId="32" fillId="17" borderId="7" xfId="0" applyNumberFormat="1" applyFont="1" applyFill="1" applyBorder="1"/>
    <xf numFmtId="3" fontId="0" fillId="17" borderId="5" xfId="0" applyNumberFormat="1" applyFill="1" applyBorder="1" applyAlignment="1">
      <alignment horizontal="center"/>
    </xf>
    <xf numFmtId="0" fontId="131" fillId="17" borderId="1" xfId="0" applyFont="1" applyFill="1" applyBorder="1" applyAlignment="1">
      <alignment horizontal="left"/>
    </xf>
    <xf numFmtId="37" fontId="122" fillId="17" borderId="0" xfId="0" applyNumberFormat="1" applyFont="1" applyFill="1" applyBorder="1"/>
    <xf numFmtId="169" fontId="122" fillId="17" borderId="0" xfId="1" applyNumberFormat="1" applyFont="1" applyFill="1" applyBorder="1"/>
    <xf numFmtId="169" fontId="32" fillId="17" borderId="3" xfId="0" applyNumberFormat="1" applyFont="1" applyFill="1" applyBorder="1"/>
    <xf numFmtId="3" fontId="0" fillId="17" borderId="12" xfId="0" applyNumberFormat="1" applyFill="1" applyBorder="1" applyAlignment="1">
      <alignment horizontal="center"/>
    </xf>
    <xf numFmtId="0" fontId="132" fillId="17" borderId="10" xfId="0" applyFont="1" applyFill="1" applyBorder="1" applyAlignment="1">
      <alignment horizontal="left"/>
    </xf>
    <xf numFmtId="37" fontId="133" fillId="17" borderId="4" xfId="0" applyNumberFormat="1" applyFont="1" applyFill="1" applyBorder="1"/>
    <xf numFmtId="169" fontId="122" fillId="17" borderId="4" xfId="1" applyNumberFormat="1" applyFont="1" applyFill="1" applyBorder="1"/>
    <xf numFmtId="169" fontId="32" fillId="17" borderId="9" xfId="0" applyNumberFormat="1" applyFont="1" applyFill="1" applyBorder="1"/>
    <xf numFmtId="3" fontId="0" fillId="17" borderId="13" xfId="0" applyNumberFormat="1" applyFill="1" applyBorder="1" applyAlignment="1">
      <alignment horizontal="center"/>
    </xf>
    <xf numFmtId="0" fontId="131" fillId="14" borderId="6" xfId="0" applyFont="1" applyFill="1" applyBorder="1" applyAlignment="1">
      <alignment horizontal="left"/>
    </xf>
    <xf numFmtId="42" fontId="130" fillId="14" borderId="2" xfId="3" applyNumberFormat="1" applyFont="1" applyFill="1" applyBorder="1"/>
    <xf numFmtId="42" fontId="130" fillId="15" borderId="5" xfId="3" applyNumberFormat="1" applyFont="1" applyFill="1" applyBorder="1"/>
    <xf numFmtId="42" fontId="130" fillId="23" borderId="2" xfId="3" applyNumberFormat="1" applyFont="1" applyFill="1" applyBorder="1"/>
    <xf numFmtId="42" fontId="130" fillId="14" borderId="5" xfId="3" applyNumberFormat="1" applyFont="1" applyFill="1" applyBorder="1"/>
    <xf numFmtId="0" fontId="131" fillId="14" borderId="1" xfId="0" applyFont="1" applyFill="1" applyBorder="1" applyAlignment="1">
      <alignment horizontal="left"/>
    </xf>
    <xf numFmtId="42" fontId="130" fillId="14" borderId="0" xfId="3" applyNumberFormat="1" applyFont="1" applyFill="1" applyBorder="1"/>
    <xf numFmtId="42" fontId="130" fillId="15" borderId="12" xfId="3" applyNumberFormat="1" applyFont="1" applyFill="1" applyBorder="1"/>
    <xf numFmtId="42" fontId="130" fillId="23" borderId="0" xfId="3" applyNumberFormat="1" applyFont="1" applyFill="1" applyBorder="1"/>
    <xf numFmtId="42" fontId="130" fillId="14" borderId="12" xfId="3" applyNumberFormat="1" applyFont="1" applyFill="1" applyBorder="1"/>
    <xf numFmtId="0" fontId="32" fillId="14" borderId="1" xfId="0" applyFont="1" applyFill="1" applyBorder="1" applyAlignment="1">
      <alignment horizontal="left"/>
    </xf>
    <xf numFmtId="42" fontId="1" fillId="14" borderId="0" xfId="3" applyNumberFormat="1" applyFont="1" applyFill="1" applyBorder="1"/>
    <xf numFmtId="42" fontId="1" fillId="15" borderId="12" xfId="3" applyNumberFormat="1" applyFont="1" applyFill="1" applyBorder="1"/>
    <xf numFmtId="42" fontId="1" fillId="14" borderId="12" xfId="3" applyNumberFormat="1" applyFont="1" applyFill="1" applyBorder="1"/>
    <xf numFmtId="0" fontId="32" fillId="14" borderId="10" xfId="0" applyFont="1" applyFill="1" applyBorder="1" applyAlignment="1">
      <alignment horizontal="left"/>
    </xf>
    <xf numFmtId="42" fontId="1" fillId="14" borderId="4" xfId="3" applyNumberFormat="1" applyFont="1" applyFill="1" applyBorder="1"/>
    <xf numFmtId="42" fontId="1" fillId="15" borderId="13" xfId="3" applyNumberFormat="1" applyFont="1" applyFill="1" applyBorder="1"/>
    <xf numFmtId="42" fontId="1" fillId="14" borderId="13" xfId="3" applyNumberFormat="1" applyFont="1" applyFill="1" applyBorder="1"/>
    <xf numFmtId="37" fontId="47" fillId="8" borderId="5" xfId="0" applyNumberFormat="1" applyFont="1" applyFill="1" applyBorder="1"/>
    <xf numFmtId="167" fontId="56" fillId="0" borderId="2" xfId="0" applyNumberFormat="1" applyFont="1" applyBorder="1"/>
    <xf numFmtId="0" fontId="56" fillId="0" borderId="68" xfId="0" applyFont="1" applyBorder="1"/>
    <xf numFmtId="0" fontId="56" fillId="0" borderId="2" xfId="0" applyFont="1" applyBorder="1"/>
    <xf numFmtId="44" fontId="47" fillId="14" borderId="0" xfId="3" applyFont="1" applyFill="1" applyBorder="1"/>
    <xf numFmtId="167" fontId="56" fillId="0" borderId="0" xfId="0" applyNumberFormat="1" applyFont="1" applyBorder="1"/>
    <xf numFmtId="0" fontId="47" fillId="0" borderId="13" xfId="0" applyFont="1" applyBorder="1"/>
    <xf numFmtId="167" fontId="56" fillId="0" borderId="4" xfId="0" applyNumberFormat="1" applyFont="1" applyBorder="1"/>
    <xf numFmtId="0" fontId="56" fillId="0" borderId="4" xfId="0" applyFont="1" applyBorder="1"/>
    <xf numFmtId="0" fontId="124" fillId="0" borderId="4" xfId="0" applyFont="1" applyFill="1" applyBorder="1"/>
    <xf numFmtId="0" fontId="56" fillId="0" borderId="9" xfId="0" applyFont="1" applyBorder="1"/>
    <xf numFmtId="0" fontId="47" fillId="0" borderId="0" xfId="0" applyFont="1" applyFill="1" applyBorder="1" applyAlignment="1">
      <alignment horizontal="right"/>
    </xf>
    <xf numFmtId="1" fontId="56" fillId="0" borderId="0" xfId="0" applyNumberFormat="1" applyFont="1" applyFill="1" applyBorder="1"/>
    <xf numFmtId="0" fontId="56" fillId="0" borderId="0" xfId="0" applyFont="1" applyFill="1" applyBorder="1"/>
    <xf numFmtId="42" fontId="56" fillId="0" borderId="0" xfId="3" applyNumberFormat="1" applyFont="1" applyBorder="1" applyAlignment="1">
      <alignment horizontal="right"/>
    </xf>
    <xf numFmtId="0" fontId="56" fillId="0" borderId="3" xfId="0" applyFont="1" applyBorder="1"/>
    <xf numFmtId="10" fontId="47" fillId="0" borderId="51" xfId="3" applyNumberFormat="1" applyFont="1" applyBorder="1" applyAlignment="1">
      <alignment horizontal="center"/>
    </xf>
    <xf numFmtId="44" fontId="56" fillId="29" borderId="2" xfId="3" applyFont="1" applyFill="1" applyBorder="1"/>
    <xf numFmtId="9" fontId="126" fillId="0" borderId="2" xfId="8" applyFont="1" applyFill="1" applyBorder="1" applyAlignment="1">
      <alignment horizontal="center"/>
    </xf>
    <xf numFmtId="0" fontId="124" fillId="0" borderId="2" xfId="0" applyFont="1" applyBorder="1"/>
    <xf numFmtId="0" fontId="127" fillId="0" borderId="0" xfId="0" applyFont="1" applyBorder="1"/>
    <xf numFmtId="44" fontId="56" fillId="0" borderId="4" xfId="3" applyFont="1" applyFill="1" applyBorder="1"/>
    <xf numFmtId="0" fontId="56" fillId="0" borderId="4" xfId="0" applyFont="1" applyFill="1" applyBorder="1"/>
    <xf numFmtId="44" fontId="56" fillId="0" borderId="0" xfId="3" applyFont="1" applyFill="1" applyBorder="1"/>
    <xf numFmtId="44" fontId="56" fillId="17" borderId="2" xfId="3" applyFont="1" applyFill="1" applyBorder="1"/>
    <xf numFmtId="0" fontId="56" fillId="0" borderId="2" xfId="0" applyFont="1" applyFill="1" applyBorder="1"/>
    <xf numFmtId="44" fontId="56" fillId="0" borderId="9" xfId="3" applyFont="1" applyFill="1" applyBorder="1"/>
    <xf numFmtId="167" fontId="56" fillId="0" borderId="9" xfId="0" applyNumberFormat="1" applyFont="1" applyBorder="1"/>
    <xf numFmtId="44" fontId="56" fillId="0" borderId="13" xfId="0" applyNumberFormat="1" applyFont="1" applyBorder="1"/>
    <xf numFmtId="0" fontId="13" fillId="0" borderId="0" xfId="0" applyFont="1" applyFill="1" applyBorder="1" applyAlignment="1">
      <alignment horizontal="right"/>
    </xf>
    <xf numFmtId="0" fontId="13" fillId="0" borderId="5" xfId="0" applyFont="1" applyFill="1" applyBorder="1" applyAlignment="1">
      <alignment horizontal="right"/>
    </xf>
    <xf numFmtId="0" fontId="13" fillId="0" borderId="13" xfId="0" applyFont="1" applyFill="1" applyBorder="1" applyAlignment="1">
      <alignment horizontal="right"/>
    </xf>
    <xf numFmtId="44" fontId="121" fillId="16" borderId="17" xfId="3" applyNumberFormat="1" applyFont="1" applyFill="1" applyBorder="1" applyAlignment="1">
      <alignment horizontal="center"/>
    </xf>
    <xf numFmtId="44" fontId="121" fillId="26" borderId="17" xfId="3" applyNumberFormat="1" applyFont="1" applyFill="1" applyBorder="1" applyAlignment="1">
      <alignment horizontal="center"/>
    </xf>
    <xf numFmtId="44" fontId="121" fillId="8" borderId="19" xfId="3" applyFont="1" applyFill="1" applyBorder="1" applyAlignment="1">
      <alignment horizontal="center" vertical="center"/>
    </xf>
    <xf numFmtId="44" fontId="121" fillId="26" borderId="19" xfId="3" applyFont="1" applyFill="1" applyBorder="1" applyAlignment="1">
      <alignment horizontal="center" vertical="center" wrapText="1"/>
    </xf>
    <xf numFmtId="44" fontId="121" fillId="16" borderId="19" xfId="3" applyFont="1" applyFill="1" applyBorder="1" applyAlignment="1">
      <alignment horizontal="center" vertical="center" wrapText="1"/>
    </xf>
    <xf numFmtId="44" fontId="121" fillId="25" borderId="19" xfId="3" applyFont="1" applyFill="1" applyBorder="1" applyAlignment="1">
      <alignment horizontal="center" vertical="center" wrapText="1"/>
    </xf>
    <xf numFmtId="44" fontId="121" fillId="27" borderId="19" xfId="3" applyFont="1" applyFill="1" applyBorder="1" applyAlignment="1">
      <alignment horizontal="center" vertical="center" wrapText="1"/>
    </xf>
    <xf numFmtId="168" fontId="112" fillId="0" borderId="26" xfId="3" applyNumberFormat="1" applyFont="1" applyBorder="1"/>
    <xf numFmtId="44" fontId="1" fillId="0" borderId="0" xfId="0" applyNumberFormat="1" applyFont="1" applyFill="1" applyBorder="1" applyAlignment="1">
      <alignment vertical="center"/>
    </xf>
    <xf numFmtId="168" fontId="0" fillId="0" borderId="0" xfId="0" applyNumberFormat="1" applyFill="1" applyBorder="1"/>
    <xf numFmtId="168" fontId="0" fillId="0" borderId="11" xfId="0" applyNumberFormat="1" applyFill="1" applyBorder="1"/>
    <xf numFmtId="168" fontId="7" fillId="0" borderId="9" xfId="0" applyNumberFormat="1" applyFont="1" applyFill="1" applyBorder="1"/>
    <xf numFmtId="13" fontId="64" fillId="22" borderId="3" xfId="3" quotePrefix="1" applyNumberFormat="1" applyFont="1" applyFill="1" applyBorder="1" applyAlignment="1">
      <alignment horizontal="center"/>
    </xf>
    <xf numFmtId="44" fontId="64" fillId="22" borderId="9" xfId="3" applyFont="1" applyFill="1" applyBorder="1" applyAlignment="1">
      <alignment horizontal="center" wrapText="1"/>
    </xf>
    <xf numFmtId="44" fontId="121" fillId="22" borderId="17" xfId="3" applyNumberFormat="1" applyFont="1" applyFill="1" applyBorder="1" applyAlignment="1">
      <alignment horizontal="center"/>
    </xf>
    <xf numFmtId="44" fontId="121" fillId="22" borderId="19" xfId="3" applyFont="1" applyFill="1" applyBorder="1" applyAlignment="1">
      <alignment horizontal="center" vertical="center" wrapText="1"/>
    </xf>
    <xf numFmtId="42" fontId="1" fillId="0" borderId="5" xfId="3" applyNumberFormat="1" applyFont="1" applyBorder="1" applyAlignment="1">
      <alignment horizontal="center"/>
    </xf>
    <xf numFmtId="42" fontId="56" fillId="0" borderId="49" xfId="3" applyNumberFormat="1" applyFont="1" applyBorder="1" applyAlignment="1">
      <alignment horizontal="right"/>
    </xf>
    <xf numFmtId="42" fontId="56" fillId="0" borderId="51" xfId="3" applyNumberFormat="1" applyFont="1" applyBorder="1"/>
    <xf numFmtId="37" fontId="47" fillId="8" borderId="12" xfId="0" applyNumberFormat="1" applyFont="1" applyFill="1" applyBorder="1" applyAlignment="1">
      <alignment horizontal="right"/>
    </xf>
    <xf numFmtId="0" fontId="125" fillId="24" borderId="0" xfId="0" applyFont="1" applyFill="1" applyBorder="1" applyAlignment="1">
      <alignment horizontal="center" wrapText="1"/>
    </xf>
    <xf numFmtId="0" fontId="47" fillId="0" borderId="49" xfId="0" applyFont="1" applyFill="1" applyBorder="1" applyAlignment="1">
      <alignment horizontal="right"/>
    </xf>
    <xf numFmtId="1" fontId="56" fillId="0" borderId="50" xfId="0" applyNumberFormat="1" applyFont="1" applyFill="1" applyBorder="1"/>
    <xf numFmtId="0" fontId="56" fillId="0" borderId="51" xfId="0" applyFont="1" applyFill="1" applyBorder="1" applyAlignment="1">
      <alignment horizontal="right"/>
    </xf>
    <xf numFmtId="0" fontId="134" fillId="0" borderId="0" xfId="0" applyFont="1" applyFill="1" applyAlignment="1">
      <alignment horizontal="center"/>
    </xf>
    <xf numFmtId="0" fontId="11" fillId="0" borderId="1" xfId="0" applyFont="1" applyBorder="1" applyAlignment="1">
      <alignment horizontal="left" vertical="center" wrapText="1"/>
    </xf>
    <xf numFmtId="42" fontId="1" fillId="0" borderId="12" xfId="3" applyNumberFormat="1" applyFont="1" applyBorder="1" applyAlignment="1">
      <alignment horizontal="center"/>
    </xf>
    <xf numFmtId="0" fontId="31" fillId="5" borderId="11" xfId="0" applyFont="1" applyFill="1" applyBorder="1" applyAlignment="1">
      <alignment horizontal="center"/>
    </xf>
    <xf numFmtId="167" fontId="31" fillId="5" borderId="11" xfId="0" applyNumberFormat="1" applyFont="1" applyFill="1" applyBorder="1" applyAlignment="1">
      <alignment horizontal="center"/>
    </xf>
    <xf numFmtId="0" fontId="92" fillId="0" borderId="0" xfId="5"/>
    <xf numFmtId="0" fontId="16" fillId="0" borderId="0" xfId="5" applyFont="1"/>
    <xf numFmtId="0" fontId="135" fillId="0" borderId="0" xfId="5" applyFont="1" applyAlignment="1">
      <alignment horizontal="center"/>
    </xf>
    <xf numFmtId="0" fontId="128" fillId="0" borderId="0" xfId="5" applyFont="1" applyAlignment="1">
      <alignment horizontal="center"/>
    </xf>
    <xf numFmtId="0" fontId="135" fillId="0" borderId="0" xfId="5" applyFont="1" applyAlignment="1">
      <alignment horizontal="centerContinuous"/>
    </xf>
    <xf numFmtId="169" fontId="0" fillId="0" borderId="0" xfId="9" applyNumberFormat="1" applyFont="1"/>
    <xf numFmtId="38" fontId="92" fillId="0" borderId="0" xfId="5" applyNumberFormat="1"/>
    <xf numFmtId="0" fontId="43" fillId="8" borderId="5" xfId="5" applyFont="1" applyFill="1" applyBorder="1"/>
    <xf numFmtId="0" fontId="43" fillId="8" borderId="6" xfId="5" applyFont="1" applyFill="1" applyBorder="1" applyAlignment="1">
      <alignment horizontal="right"/>
    </xf>
    <xf numFmtId="0" fontId="43" fillId="8" borderId="5" xfId="5" applyFont="1" applyFill="1" applyBorder="1" applyAlignment="1">
      <alignment horizontal="right"/>
    </xf>
    <xf numFmtId="0" fontId="43" fillId="8" borderId="7" xfId="5" applyFont="1" applyFill="1" applyBorder="1" applyAlignment="1">
      <alignment horizontal="center"/>
    </xf>
    <xf numFmtId="0" fontId="43" fillId="8" borderId="13" xfId="5" applyFont="1" applyFill="1" applyBorder="1"/>
    <xf numFmtId="0" fontId="43" fillId="8" borderId="10" xfId="5" applyFont="1" applyFill="1" applyBorder="1" applyAlignment="1">
      <alignment horizontal="right"/>
    </xf>
    <xf numFmtId="0" fontId="43" fillId="8" borderId="13" xfId="5" applyFont="1" applyFill="1" applyBorder="1" applyAlignment="1">
      <alignment horizontal="right"/>
    </xf>
    <xf numFmtId="0" fontId="43" fillId="8" borderId="9" xfId="5" applyFont="1" applyFill="1" applyBorder="1" applyAlignment="1">
      <alignment horizontal="center"/>
    </xf>
    <xf numFmtId="0" fontId="43" fillId="0" borderId="12" xfId="5" applyFont="1" applyBorder="1"/>
    <xf numFmtId="3" fontId="92" fillId="3" borderId="1" xfId="5" applyNumberFormat="1" applyFill="1" applyBorder="1"/>
    <xf numFmtId="3" fontId="92" fillId="3" borderId="12" xfId="5" applyNumberFormat="1" applyFill="1" applyBorder="1" applyAlignment="1">
      <alignment horizontal="right"/>
    </xf>
    <xf numFmtId="3" fontId="92" fillId="3" borderId="5" xfId="5" applyNumberFormat="1" applyFill="1" applyBorder="1" applyAlignment="1">
      <alignment horizontal="right"/>
    </xf>
    <xf numFmtId="3" fontId="92" fillId="0" borderId="1" xfId="5" applyNumberFormat="1" applyFill="1" applyBorder="1"/>
    <xf numFmtId="3" fontId="92" fillId="0" borderId="21" xfId="5" applyNumberFormat="1" applyBorder="1"/>
    <xf numFmtId="3" fontId="92" fillId="0" borderId="0" xfId="5" applyNumberFormat="1"/>
    <xf numFmtId="3" fontId="92" fillId="3" borderId="12" xfId="5" applyNumberFormat="1" applyFill="1" applyBorder="1"/>
    <xf numFmtId="0" fontId="43" fillId="0" borderId="13" xfId="5" applyFont="1" applyBorder="1"/>
    <xf numFmtId="2" fontId="92" fillId="3" borderId="10" xfId="5" applyNumberFormat="1" applyFill="1" applyBorder="1"/>
    <xf numFmtId="2" fontId="92" fillId="3" borderId="13" xfId="5" applyNumberFormat="1" applyFill="1" applyBorder="1"/>
    <xf numFmtId="3" fontId="92" fillId="3" borderId="3" xfId="5" applyNumberFormat="1" applyFill="1" applyBorder="1"/>
    <xf numFmtId="1" fontId="92" fillId="3" borderId="1" xfId="5" applyNumberFormat="1" applyFill="1" applyBorder="1"/>
    <xf numFmtId="0" fontId="43" fillId="0" borderId="62" xfId="5" applyFont="1" applyBorder="1"/>
    <xf numFmtId="3" fontId="92" fillId="3" borderId="34" xfId="5" applyNumberFormat="1" applyFill="1" applyBorder="1"/>
    <xf numFmtId="3" fontId="92" fillId="3" borderId="62" xfId="5" applyNumberFormat="1" applyFill="1" applyBorder="1"/>
    <xf numFmtId="3" fontId="92" fillId="3" borderId="45" xfId="5" applyNumberFormat="1" applyFill="1" applyBorder="1"/>
    <xf numFmtId="0" fontId="92" fillId="0" borderId="1" xfId="5" applyBorder="1"/>
    <xf numFmtId="0" fontId="92" fillId="3" borderId="12" xfId="5" applyFill="1" applyBorder="1"/>
    <xf numFmtId="0" fontId="92" fillId="3" borderId="3" xfId="5" applyFill="1" applyBorder="1"/>
    <xf numFmtId="3" fontId="92" fillId="0" borderId="1" xfId="5" applyNumberFormat="1" applyBorder="1"/>
    <xf numFmtId="3" fontId="92" fillId="30" borderId="1" xfId="5" applyNumberFormat="1" applyFill="1" applyBorder="1"/>
    <xf numFmtId="0" fontId="43" fillId="0" borderId="5" xfId="5" applyFont="1" applyBorder="1"/>
    <xf numFmtId="3" fontId="92" fillId="0" borderId="6" xfId="5" applyNumberFormat="1" applyBorder="1"/>
    <xf numFmtId="3" fontId="92" fillId="3" borderId="5" xfId="5" applyNumberFormat="1" applyFill="1" applyBorder="1"/>
    <xf numFmtId="3" fontId="92" fillId="3" borderId="7" xfId="5" applyNumberFormat="1" applyFill="1" applyBorder="1"/>
    <xf numFmtId="3" fontId="1" fillId="0" borderId="1" xfId="5" applyNumberFormat="1" applyFont="1" applyFill="1" applyBorder="1"/>
    <xf numFmtId="3" fontId="1" fillId="3" borderId="34" xfId="5" applyNumberFormat="1" applyFont="1" applyFill="1" applyBorder="1"/>
    <xf numFmtId="3" fontId="1" fillId="0" borderId="1" xfId="5" applyNumberFormat="1" applyFont="1" applyBorder="1"/>
    <xf numFmtId="3" fontId="92" fillId="0" borderId="12" xfId="5" applyNumberFormat="1" applyBorder="1"/>
    <xf numFmtId="3" fontId="92" fillId="3" borderId="61" xfId="5" applyNumberFormat="1" applyFill="1" applyBorder="1"/>
    <xf numFmtId="1" fontId="1" fillId="0" borderId="12" xfId="5" applyNumberFormat="1" applyFont="1" applyBorder="1"/>
    <xf numFmtId="3" fontId="1" fillId="0" borderId="6" xfId="5" applyNumberFormat="1" applyFont="1" applyBorder="1"/>
    <xf numFmtId="3" fontId="92" fillId="0" borderId="5" xfId="5" applyNumberFormat="1" applyBorder="1"/>
    <xf numFmtId="3" fontId="92" fillId="0" borderId="12" xfId="5" applyNumberFormat="1" applyFill="1" applyBorder="1"/>
    <xf numFmtId="1" fontId="92" fillId="0" borderId="12" xfId="5" applyNumberFormat="1" applyBorder="1"/>
    <xf numFmtId="10" fontId="1" fillId="3" borderId="6" xfId="10" applyNumberFormat="1" applyFill="1" applyBorder="1"/>
    <xf numFmtId="10" fontId="1" fillId="3" borderId="5" xfId="10" applyNumberFormat="1" applyFill="1" applyBorder="1"/>
    <xf numFmtId="10" fontId="1" fillId="3" borderId="1" xfId="10" applyNumberFormat="1" applyFill="1" applyBorder="1"/>
    <xf numFmtId="10" fontId="1" fillId="3" borderId="12" xfId="10" applyNumberFormat="1" applyFill="1" applyBorder="1"/>
    <xf numFmtId="10" fontId="1" fillId="3" borderId="10" xfId="10" applyNumberFormat="1" applyFill="1" applyBorder="1"/>
    <xf numFmtId="10" fontId="1" fillId="3" borderId="13" xfId="10" applyNumberFormat="1" applyFill="1" applyBorder="1"/>
    <xf numFmtId="0" fontId="92" fillId="0" borderId="12" xfId="5" applyBorder="1"/>
    <xf numFmtId="3" fontId="92" fillId="3" borderId="10" xfId="5" applyNumberFormat="1" applyFill="1" applyBorder="1"/>
    <xf numFmtId="3" fontId="92" fillId="3" borderId="13" xfId="5" applyNumberFormat="1" applyFill="1" applyBorder="1"/>
    <xf numFmtId="0" fontId="92" fillId="0" borderId="5" xfId="5" applyBorder="1"/>
    <xf numFmtId="0" fontId="43" fillId="0" borderId="61" xfId="5" applyFont="1" applyBorder="1"/>
    <xf numFmtId="2" fontId="92" fillId="3" borderId="42" xfId="5" applyNumberFormat="1" applyFill="1" applyBorder="1"/>
    <xf numFmtId="2" fontId="92" fillId="3" borderId="61" xfId="5" applyNumberFormat="1" applyFill="1" applyBorder="1"/>
    <xf numFmtId="10" fontId="92" fillId="3" borderId="10" xfId="5" applyNumberFormat="1" applyFill="1" applyBorder="1"/>
    <xf numFmtId="10" fontId="92" fillId="3" borderId="13" xfId="5" applyNumberFormat="1" applyFill="1" applyBorder="1"/>
    <xf numFmtId="43" fontId="0" fillId="0" borderId="0" xfId="9" applyFont="1"/>
    <xf numFmtId="3" fontId="92" fillId="14" borderId="1" xfId="5" applyNumberFormat="1" applyFill="1" applyBorder="1"/>
    <xf numFmtId="3" fontId="92" fillId="23" borderId="12" xfId="5" applyNumberFormat="1" applyFill="1" applyBorder="1"/>
    <xf numFmtId="3" fontId="92" fillId="23" borderId="3" xfId="5" applyNumberFormat="1" applyFill="1" applyBorder="1"/>
    <xf numFmtId="168" fontId="1" fillId="0" borderId="36" xfId="0" applyNumberFormat="1" applyFont="1" applyFill="1" applyBorder="1" applyAlignment="1">
      <alignment vertical="center"/>
    </xf>
    <xf numFmtId="168" fontId="1" fillId="0" borderId="0" xfId="0" applyNumberFormat="1" applyFont="1" applyFill="1" applyBorder="1" applyAlignment="1">
      <alignment vertical="center"/>
    </xf>
    <xf numFmtId="168" fontId="1" fillId="0" borderId="69" xfId="0" applyNumberFormat="1" applyFont="1" applyFill="1" applyBorder="1" applyAlignment="1">
      <alignment vertical="center"/>
    </xf>
    <xf numFmtId="168" fontId="1" fillId="0" borderId="11" xfId="0" applyNumberFormat="1" applyFont="1" applyFill="1" applyBorder="1" applyAlignment="1">
      <alignment vertical="center"/>
    </xf>
    <xf numFmtId="168" fontId="7" fillId="0" borderId="45" xfId="0" applyNumberFormat="1" applyFont="1" applyFill="1" applyBorder="1"/>
    <xf numFmtId="168" fontId="7" fillId="0" borderId="3" xfId="0" applyNumberFormat="1" applyFont="1" applyFill="1" applyBorder="1"/>
    <xf numFmtId="168" fontId="13" fillId="0" borderId="3" xfId="0" applyNumberFormat="1" applyFont="1" applyFill="1" applyBorder="1"/>
    <xf numFmtId="168" fontId="1" fillId="0" borderId="3" xfId="0" applyNumberFormat="1" applyFont="1" applyFill="1" applyBorder="1" applyAlignment="1">
      <alignment vertical="center"/>
    </xf>
    <xf numFmtId="168" fontId="7" fillId="0" borderId="32" xfId="3" applyNumberFormat="1" applyFont="1" applyFill="1" applyBorder="1" applyAlignment="1">
      <alignment vertical="top"/>
    </xf>
    <xf numFmtId="42" fontId="7" fillId="0" borderId="0" xfId="3" applyNumberFormat="1" applyFont="1" applyFill="1" applyBorder="1" applyAlignment="1"/>
    <xf numFmtId="42" fontId="9" fillId="0" borderId="24" xfId="3" applyNumberFormat="1" applyFont="1" applyFill="1" applyBorder="1"/>
    <xf numFmtId="9" fontId="2" fillId="5" borderId="7" xfId="8" applyFont="1" applyFill="1" applyBorder="1"/>
    <xf numFmtId="9" fontId="7" fillId="0" borderId="7" xfId="8" applyFont="1" applyBorder="1"/>
    <xf numFmtId="9" fontId="9" fillId="0" borderId="3" xfId="8" applyFont="1" applyFill="1" applyBorder="1"/>
    <xf numFmtId="9" fontId="7" fillId="0" borderId="3" xfId="8" applyFont="1" applyFill="1" applyBorder="1"/>
    <xf numFmtId="10" fontId="7" fillId="0" borderId="3" xfId="8" applyNumberFormat="1" applyFont="1" applyFill="1" applyBorder="1" applyAlignment="1">
      <alignment vertical="top"/>
    </xf>
    <xf numFmtId="10" fontId="7" fillId="0" borderId="33" xfId="8" applyNumberFormat="1" applyFont="1" applyFill="1" applyBorder="1" applyAlignment="1">
      <alignment vertical="top"/>
    </xf>
    <xf numFmtId="10" fontId="13" fillId="8" borderId="33" xfId="8" applyNumberFormat="1" applyFont="1" applyFill="1" applyBorder="1"/>
    <xf numFmtId="10" fontId="68" fillId="0" borderId="3" xfId="8" applyNumberFormat="1" applyFont="1" applyFill="1" applyBorder="1"/>
    <xf numFmtId="10" fontId="7" fillId="0" borderId="3" xfId="8" applyNumberFormat="1" applyFont="1" applyFill="1" applyBorder="1"/>
    <xf numFmtId="10" fontId="7" fillId="0" borderId="3" xfId="8" applyNumberFormat="1" applyFont="1" applyFill="1" applyBorder="1" applyAlignment="1">
      <alignment vertical="center"/>
    </xf>
    <xf numFmtId="10" fontId="7" fillId="0" borderId="63" xfId="8" applyNumberFormat="1" applyFont="1" applyFill="1" applyBorder="1" applyAlignment="1">
      <alignment vertical="top"/>
    </xf>
    <xf numFmtId="10" fontId="7" fillId="0" borderId="33" xfId="8" applyNumberFormat="1" applyFont="1" applyFill="1" applyBorder="1"/>
    <xf numFmtId="10" fontId="13" fillId="8" borderId="45" xfId="8" applyNumberFormat="1" applyFont="1" applyFill="1" applyBorder="1"/>
    <xf numFmtId="10" fontId="7" fillId="0" borderId="33" xfId="8" applyNumberFormat="1" applyFont="1" applyFill="1" applyBorder="1" applyAlignment="1">
      <alignment horizontal="right" vertical="top"/>
    </xf>
    <xf numFmtId="10" fontId="13" fillId="8" borderId="33" xfId="8" applyNumberFormat="1" applyFont="1" applyFill="1" applyBorder="1" applyAlignment="1">
      <alignment horizontal="right"/>
    </xf>
    <xf numFmtId="10" fontId="7" fillId="0" borderId="3" xfId="8" applyNumberFormat="1" applyFont="1" applyFill="1" applyBorder="1" applyAlignment="1">
      <alignment vertical="top" wrapText="1"/>
    </xf>
    <xf numFmtId="10" fontId="7" fillId="0" borderId="9" xfId="8" applyNumberFormat="1" applyFont="1" applyFill="1" applyBorder="1"/>
    <xf numFmtId="0" fontId="47" fillId="0" borderId="10" xfId="0" applyFont="1" applyFill="1" applyBorder="1"/>
    <xf numFmtId="42" fontId="47" fillId="0" borderId="4" xfId="0" applyNumberFormat="1" applyFont="1" applyFill="1" applyBorder="1"/>
    <xf numFmtId="42" fontId="47" fillId="0" borderId="22" xfId="0" applyNumberFormat="1" applyFont="1" applyFill="1" applyBorder="1"/>
    <xf numFmtId="42" fontId="47" fillId="0" borderId="4" xfId="3" applyNumberFormat="1" applyFont="1" applyFill="1" applyBorder="1"/>
    <xf numFmtId="42" fontId="47" fillId="0" borderId="70" xfId="3" applyNumberFormat="1" applyFont="1" applyFill="1" applyBorder="1"/>
    <xf numFmtId="10" fontId="50" fillId="0" borderId="9" xfId="8" applyNumberFormat="1" applyFont="1" applyFill="1" applyBorder="1"/>
    <xf numFmtId="0" fontId="12" fillId="8" borderId="30" xfId="0" applyFont="1" applyFill="1" applyBorder="1" applyAlignment="1">
      <alignment horizontal="right" vertical="center"/>
    </xf>
    <xf numFmtId="42" fontId="12" fillId="8" borderId="31" xfId="0" applyNumberFormat="1" applyFont="1" applyFill="1" applyBorder="1" applyAlignment="1">
      <alignment vertical="center"/>
    </xf>
    <xf numFmtId="42" fontId="12" fillId="8" borderId="11" xfId="3" applyNumberFormat="1" applyFont="1" applyFill="1" applyBorder="1" applyAlignment="1">
      <alignment vertical="center"/>
    </xf>
    <xf numFmtId="42" fontId="12" fillId="8" borderId="31" xfId="3" applyNumberFormat="1" applyFont="1" applyFill="1" applyBorder="1" applyAlignment="1">
      <alignment vertical="center"/>
    </xf>
    <xf numFmtId="42" fontId="12" fillId="8" borderId="32" xfId="3" applyNumberFormat="1" applyFont="1" applyFill="1" applyBorder="1" applyAlignment="1">
      <alignment vertical="center"/>
    </xf>
    <xf numFmtId="10" fontId="12" fillId="8" borderId="33" xfId="8" applyNumberFormat="1" applyFont="1" applyFill="1" applyBorder="1" applyAlignment="1">
      <alignment horizontal="right" vertical="center"/>
    </xf>
    <xf numFmtId="168" fontId="11" fillId="0" borderId="32" xfId="3" applyNumberFormat="1" applyFont="1" applyFill="1" applyBorder="1" applyAlignment="1">
      <alignment vertical="top"/>
    </xf>
    <xf numFmtId="44" fontId="0" fillId="0" borderId="36" xfId="0" applyNumberFormat="1" applyFill="1" applyBorder="1"/>
    <xf numFmtId="0" fontId="11" fillId="0" borderId="30" xfId="0" applyFont="1" applyFill="1" applyBorder="1" applyAlignment="1">
      <alignment vertical="center" wrapText="1"/>
    </xf>
    <xf numFmtId="42" fontId="11" fillId="0" borderId="44" xfId="0" applyNumberFormat="1" applyFont="1" applyFill="1" applyBorder="1" applyAlignment="1">
      <alignment vertical="center"/>
    </xf>
    <xf numFmtId="42" fontId="11" fillId="0" borderId="11" xfId="0" applyNumberFormat="1" applyFont="1" applyFill="1" applyBorder="1" applyAlignment="1">
      <alignment vertical="center"/>
    </xf>
    <xf numFmtId="168" fontId="11" fillId="0" borderId="32" xfId="3" applyNumberFormat="1" applyFont="1" applyFill="1" applyBorder="1" applyAlignment="1">
      <alignment vertical="center"/>
    </xf>
    <xf numFmtId="10" fontId="11" fillId="0" borderId="33" xfId="8" applyNumberFormat="1" applyFont="1" applyFill="1" applyBorder="1" applyAlignment="1">
      <alignment horizontal="right" vertical="center"/>
    </xf>
    <xf numFmtId="0" fontId="11" fillId="0" borderId="30" xfId="0" applyFont="1" applyFill="1" applyBorder="1" applyAlignment="1">
      <alignment vertical="center"/>
    </xf>
    <xf numFmtId="0" fontId="13" fillId="0" borderId="61" xfId="0" applyFont="1" applyFill="1" applyBorder="1" applyAlignment="1">
      <alignment horizontal="right"/>
    </xf>
    <xf numFmtId="0" fontId="7" fillId="0" borderId="1" xfId="0" applyFont="1" applyFill="1" applyBorder="1" applyAlignment="1">
      <alignment horizontal="right"/>
    </xf>
    <xf numFmtId="0" fontId="13" fillId="0" borderId="34" xfId="0" applyFont="1" applyFill="1" applyBorder="1"/>
    <xf numFmtId="169" fontId="0" fillId="0" borderId="0" xfId="0" applyNumberFormat="1" applyBorder="1"/>
    <xf numFmtId="0" fontId="13" fillId="0" borderId="10" xfId="0" applyFont="1" applyFill="1" applyBorder="1"/>
    <xf numFmtId="0" fontId="12" fillId="0" borderId="1" xfId="0" applyFont="1" applyFill="1" applyBorder="1" applyAlignment="1">
      <alignment vertical="center" wrapText="1"/>
    </xf>
    <xf numFmtId="0" fontId="12" fillId="0" borderId="3" xfId="0" applyFont="1" applyFill="1" applyBorder="1" applyAlignment="1">
      <alignment vertical="center" wrapText="1"/>
    </xf>
    <xf numFmtId="0" fontId="13" fillId="0" borderId="10" xfId="0" applyFont="1" applyBorder="1"/>
    <xf numFmtId="0" fontId="60" fillId="0" borderId="4" xfId="0" applyFont="1" applyFill="1" applyBorder="1"/>
    <xf numFmtId="0" fontId="60" fillId="0" borderId="9" xfId="0" applyFont="1" applyFill="1" applyBorder="1"/>
    <xf numFmtId="44" fontId="0" fillId="0" borderId="4" xfId="0" applyNumberFormat="1" applyBorder="1"/>
    <xf numFmtId="0" fontId="59" fillId="0" borderId="4" xfId="0" applyFont="1" applyFill="1" applyBorder="1" applyAlignment="1">
      <alignment vertical="top"/>
    </xf>
    <xf numFmtId="0" fontId="59" fillId="0" borderId="9" xfId="0" applyFont="1" applyFill="1" applyBorder="1" applyAlignment="1">
      <alignment vertical="top"/>
    </xf>
    <xf numFmtId="44" fontId="64" fillId="5" borderId="4" xfId="3" quotePrefix="1" applyNumberFormat="1" applyFont="1" applyFill="1" applyBorder="1" applyAlignment="1">
      <alignment horizontal="center"/>
    </xf>
    <xf numFmtId="13" fontId="64" fillId="5" borderId="3" xfId="3" quotePrefix="1" applyNumberFormat="1" applyFont="1" applyFill="1" applyBorder="1" applyAlignment="1">
      <alignment horizontal="center" vertical="center" wrapText="1"/>
    </xf>
    <xf numFmtId="168" fontId="120" fillId="0" borderId="26" xfId="3" applyNumberFormat="1" applyFont="1" applyFill="1" applyBorder="1"/>
    <xf numFmtId="168" fontId="0" fillId="0" borderId="3" xfId="0" applyNumberFormat="1" applyFill="1" applyBorder="1"/>
    <xf numFmtId="0" fontId="7" fillId="0" borderId="0" xfId="0" applyFont="1" applyFill="1" applyBorder="1" applyAlignment="1"/>
    <xf numFmtId="0" fontId="69" fillId="0" borderId="0" xfId="0" applyFont="1" applyAlignment="1">
      <alignment horizontal="center"/>
    </xf>
    <xf numFmtId="6" fontId="84" fillId="0" borderId="0" xfId="0" applyNumberFormat="1" applyFont="1"/>
    <xf numFmtId="166" fontId="68" fillId="0" borderId="0" xfId="8" applyNumberFormat="1" applyFont="1" applyFill="1" applyBorder="1" applyAlignment="1">
      <alignment horizontal="center"/>
    </xf>
    <xf numFmtId="44" fontId="68" fillId="0" borderId="0" xfId="3" applyNumberFormat="1" applyFont="1" applyFill="1" applyBorder="1" applyAlignment="1">
      <alignment horizontal="center"/>
    </xf>
    <xf numFmtId="0" fontId="1" fillId="0" borderId="1" xfId="0" applyFont="1" applyBorder="1"/>
    <xf numFmtId="0" fontId="1" fillId="0" borderId="1" xfId="5" applyFont="1" applyBorder="1" applyAlignment="1">
      <alignment horizontal="center"/>
    </xf>
    <xf numFmtId="40" fontId="1" fillId="0" borderId="0" xfId="5" applyNumberFormat="1" applyFont="1" applyBorder="1" applyAlignment="1">
      <alignment horizontal="right"/>
    </xf>
    <xf numFmtId="0" fontId="1" fillId="0" borderId="1" xfId="6" applyFont="1" applyBorder="1" applyAlignment="1">
      <alignment horizontal="center"/>
    </xf>
    <xf numFmtId="40" fontId="1" fillId="0" borderId="4" xfId="5" applyNumberFormat="1" applyFont="1" applyBorder="1" applyAlignment="1">
      <alignment horizontal="right"/>
    </xf>
    <xf numFmtId="40" fontId="1" fillId="0" borderId="0" xfId="5" applyNumberFormat="1" applyFont="1"/>
    <xf numFmtId="0" fontId="1" fillId="0" borderId="1" xfId="5" applyFont="1" applyFill="1" applyBorder="1" applyAlignment="1">
      <alignment horizontal="center"/>
    </xf>
    <xf numFmtId="0" fontId="1" fillId="0" borderId="0" xfId="5" applyFont="1" applyBorder="1"/>
    <xf numFmtId="0" fontId="1" fillId="0" borderId="0" xfId="6" applyFont="1"/>
    <xf numFmtId="0" fontId="1" fillId="0" borderId="0" xfId="5" applyFont="1"/>
    <xf numFmtId="44" fontId="1" fillId="0" borderId="0" xfId="4" applyNumberFormat="1" applyFont="1" applyFill="1"/>
    <xf numFmtId="9" fontId="64" fillId="5" borderId="3" xfId="8" applyFont="1" applyFill="1" applyBorder="1" applyAlignment="1">
      <alignment horizontal="center"/>
    </xf>
    <xf numFmtId="9" fontId="64" fillId="5" borderId="9" xfId="8" applyFont="1" applyFill="1" applyBorder="1" applyAlignment="1">
      <alignment horizontal="center"/>
    </xf>
    <xf numFmtId="168" fontId="59" fillId="0" borderId="0" xfId="0" applyNumberFormat="1" applyFont="1" applyFill="1" applyAlignment="1">
      <alignment horizontal="left" vertical="center"/>
    </xf>
    <xf numFmtId="42" fontId="59" fillId="0" borderId="0" xfId="0" applyNumberFormat="1" applyFont="1" applyFill="1" applyAlignment="1">
      <alignment vertical="center"/>
    </xf>
    <xf numFmtId="44" fontId="59" fillId="0" borderId="0" xfId="3" applyFont="1" applyFill="1"/>
    <xf numFmtId="44" fontId="20" fillId="0" borderId="0" xfId="3" applyFont="1"/>
    <xf numFmtId="44" fontId="10" fillId="0" borderId="6" xfId="3" applyFont="1" applyBorder="1"/>
    <xf numFmtId="0" fontId="1" fillId="0" borderId="0" xfId="0" applyFont="1" applyFill="1" applyBorder="1" applyAlignment="1">
      <alignment vertical="top"/>
    </xf>
    <xf numFmtId="0" fontId="1" fillId="0" borderId="3" xfId="0" applyFont="1" applyFill="1" applyBorder="1" applyAlignment="1">
      <alignment vertical="top"/>
    </xf>
    <xf numFmtId="42" fontId="77" fillId="0" borderId="31" xfId="0" applyNumberFormat="1" applyFont="1" applyFill="1" applyBorder="1" applyAlignment="1">
      <alignment vertical="top"/>
    </xf>
    <xf numFmtId="42" fontId="77" fillId="0" borderId="11" xfId="0" applyNumberFormat="1" applyFont="1" applyFill="1" applyBorder="1" applyAlignment="1">
      <alignment vertical="top"/>
    </xf>
    <xf numFmtId="42" fontId="77" fillId="0" borderId="31" xfId="3" applyNumberFormat="1" applyFont="1" applyFill="1" applyBorder="1" applyAlignment="1">
      <alignment vertical="top"/>
    </xf>
    <xf numFmtId="10" fontId="77" fillId="0" borderId="33" xfId="8" applyNumberFormat="1" applyFont="1" applyFill="1" applyBorder="1" applyAlignment="1">
      <alignment horizontal="right" vertical="top"/>
    </xf>
    <xf numFmtId="44" fontId="59" fillId="0" borderId="0" xfId="0" applyNumberFormat="1" applyFont="1" applyFill="1" applyBorder="1" applyAlignment="1">
      <alignment horizontal="left"/>
    </xf>
    <xf numFmtId="42" fontId="59" fillId="0" borderId="0" xfId="0" applyNumberFormat="1" applyFont="1" applyFill="1" applyBorder="1"/>
    <xf numFmtId="44" fontId="59" fillId="0" borderId="0" xfId="3" applyFont="1" applyFill="1" applyBorder="1"/>
    <xf numFmtId="44" fontId="20" fillId="0" borderId="0" xfId="3" applyFont="1" applyFill="1" applyBorder="1"/>
    <xf numFmtId="0" fontId="20" fillId="0" borderId="0" xfId="0" applyFont="1" applyFill="1" applyBorder="1"/>
    <xf numFmtId="44" fontId="20" fillId="0" borderId="0" xfId="0" applyNumberFormat="1" applyFont="1" applyFill="1" applyBorder="1"/>
    <xf numFmtId="44" fontId="13" fillId="0" borderId="0" xfId="3" applyFont="1" applyFill="1" applyBorder="1" applyAlignment="1">
      <alignment horizontal="center"/>
    </xf>
    <xf numFmtId="44" fontId="73" fillId="5" borderId="23" xfId="0" applyNumberFormat="1" applyFont="1" applyFill="1" applyBorder="1" applyAlignment="1">
      <alignment horizontal="center"/>
    </xf>
    <xf numFmtId="44" fontId="64" fillId="5" borderId="1" xfId="3" quotePrefix="1" applyFont="1" applyFill="1" applyBorder="1" applyAlignment="1">
      <alignment horizontal="center"/>
    </xf>
    <xf numFmtId="9" fontId="64" fillId="5" borderId="1" xfId="8" applyFont="1" applyFill="1" applyBorder="1" applyAlignment="1">
      <alignment horizontal="center"/>
    </xf>
    <xf numFmtId="0" fontId="64" fillId="5" borderId="0" xfId="0" applyFont="1" applyFill="1" applyBorder="1"/>
    <xf numFmtId="9" fontId="64" fillId="5" borderId="10" xfId="8" applyFont="1" applyFill="1" applyBorder="1" applyAlignment="1">
      <alignment horizontal="center"/>
    </xf>
    <xf numFmtId="44" fontId="64" fillId="5" borderId="4" xfId="3" applyFont="1" applyFill="1" applyBorder="1"/>
    <xf numFmtId="0" fontId="64" fillId="5" borderId="4" xfId="0" applyFont="1" applyFill="1" applyBorder="1"/>
    <xf numFmtId="0" fontId="64" fillId="5" borderId="4" xfId="0" applyFont="1" applyFill="1" applyBorder="1" applyAlignment="1">
      <alignment horizontal="center"/>
    </xf>
    <xf numFmtId="44" fontId="64" fillId="0" borderId="16" xfId="0" applyNumberFormat="1" applyFont="1" applyBorder="1"/>
    <xf numFmtId="44" fontId="64" fillId="0" borderId="2" xfId="3" applyFont="1" applyBorder="1"/>
    <xf numFmtId="9" fontId="64" fillId="0" borderId="2" xfId="8" applyFont="1" applyBorder="1"/>
    <xf numFmtId="0" fontId="64" fillId="0" borderId="2" xfId="0" applyFont="1" applyBorder="1"/>
    <xf numFmtId="44" fontId="13" fillId="0" borderId="0" xfId="3" applyFont="1" applyBorder="1" applyAlignment="1">
      <alignment horizontal="center"/>
    </xf>
    <xf numFmtId="44" fontId="13" fillId="0" borderId="0" xfId="3" applyFont="1" applyAlignment="1">
      <alignment horizontal="center"/>
    </xf>
    <xf numFmtId="13" fontId="64" fillId="5" borderId="2" xfId="3" quotePrefix="1" applyNumberFormat="1" applyFont="1" applyFill="1" applyBorder="1" applyAlignment="1">
      <alignment horizontal="center"/>
    </xf>
    <xf numFmtId="9" fontId="64" fillId="5" borderId="3" xfId="8" applyNumberFormat="1" applyFont="1" applyFill="1" applyBorder="1" applyAlignment="1">
      <alignment horizontal="right"/>
    </xf>
    <xf numFmtId="44" fontId="64" fillId="5" borderId="4" xfId="3" applyNumberFormat="1" applyFont="1" applyFill="1" applyBorder="1" applyAlignment="1">
      <alignment horizontal="center"/>
    </xf>
    <xf numFmtId="9" fontId="64" fillId="5" borderId="9" xfId="8" applyNumberFormat="1" applyFont="1" applyFill="1" applyBorder="1" applyAlignment="1">
      <alignment horizontal="right"/>
    </xf>
    <xf numFmtId="44" fontId="64" fillId="0" borderId="20" xfId="3" applyFont="1" applyBorder="1"/>
    <xf numFmtId="44" fontId="64" fillId="0" borderId="2" xfId="3" applyNumberFormat="1" applyFont="1" applyBorder="1"/>
    <xf numFmtId="9" fontId="64" fillId="0" borderId="2" xfId="8" applyNumberFormat="1" applyFont="1" applyBorder="1" applyAlignment="1">
      <alignment horizontal="right"/>
    </xf>
    <xf numFmtId="44" fontId="13" fillId="0" borderId="4" xfId="3" applyFont="1" applyBorder="1" applyAlignment="1">
      <alignment horizontal="center"/>
    </xf>
    <xf numFmtId="0" fontId="0" fillId="0" borderId="0" xfId="0" applyAlignment="1">
      <alignment wrapText="1"/>
    </xf>
    <xf numFmtId="0" fontId="14" fillId="0" borderId="0" xfId="5" applyFont="1" applyAlignment="1">
      <alignment horizontal="center"/>
    </xf>
    <xf numFmtId="0" fontId="0" fillId="0" borderId="0" xfId="0" applyAlignment="1">
      <alignment horizontal="left"/>
    </xf>
    <xf numFmtId="0" fontId="129" fillId="0" borderId="0" xfId="0" applyFont="1" applyAlignment="1">
      <alignment horizontal="center"/>
    </xf>
    <xf numFmtId="0" fontId="129" fillId="0" borderId="0" xfId="0" applyFont="1" applyAlignment="1">
      <alignment horizontal="center" vertical="center"/>
    </xf>
    <xf numFmtId="0" fontId="0" fillId="0" borderId="0" xfId="0" applyAlignment="1">
      <alignment horizontal="left" vertical="top"/>
    </xf>
    <xf numFmtId="44" fontId="56" fillId="14" borderId="0" xfId="3" applyFont="1" applyFill="1" applyBorder="1"/>
    <xf numFmtId="0" fontId="32" fillId="3" borderId="1" xfId="0" applyFont="1" applyFill="1" applyBorder="1" applyAlignment="1">
      <alignment horizontal="left" vertical="top" wrapText="1"/>
    </xf>
    <xf numFmtId="0" fontId="0" fillId="3" borderId="0" xfId="0" applyFill="1" applyBorder="1" applyAlignment="1">
      <alignment vertical="top" wrapText="1"/>
    </xf>
    <xf numFmtId="0" fontId="0" fillId="3" borderId="3" xfId="0" applyFill="1" applyBorder="1" applyAlignment="1">
      <alignment vertical="top" wrapText="1"/>
    </xf>
    <xf numFmtId="0" fontId="0" fillId="3" borderId="1" xfId="0" applyFill="1" applyBorder="1" applyAlignment="1">
      <alignment vertical="top" wrapText="1"/>
    </xf>
    <xf numFmtId="0" fontId="0" fillId="3" borderId="10" xfId="0" applyFill="1" applyBorder="1" applyAlignment="1">
      <alignment vertical="top" wrapText="1"/>
    </xf>
    <xf numFmtId="0" fontId="0" fillId="3" borderId="4" xfId="0" applyFill="1" applyBorder="1" applyAlignment="1">
      <alignment vertical="top" wrapText="1"/>
    </xf>
    <xf numFmtId="0" fontId="0" fillId="3" borderId="9" xfId="0" applyFill="1" applyBorder="1" applyAlignment="1">
      <alignment vertical="top" wrapText="1"/>
    </xf>
    <xf numFmtId="44" fontId="72" fillId="0" borderId="1" xfId="3" applyFont="1" applyFill="1" applyBorder="1" applyAlignment="1">
      <alignment wrapText="1"/>
    </xf>
    <xf numFmtId="0" fontId="0" fillId="0" borderId="0" xfId="0" applyAlignment="1">
      <alignment wrapText="1"/>
    </xf>
    <xf numFmtId="0" fontId="88" fillId="7" borderId="1" xfId="0" applyNumberFormat="1" applyFont="1" applyFill="1" applyBorder="1" applyAlignment="1">
      <alignment vertical="top" wrapText="1"/>
    </xf>
    <xf numFmtId="0" fontId="59" fillId="0" borderId="0" xfId="0" applyFont="1" applyBorder="1" applyAlignment="1">
      <alignment vertical="top" wrapText="1"/>
    </xf>
    <xf numFmtId="0" fontId="59" fillId="0" borderId="3" xfId="0" applyFont="1" applyBorder="1" applyAlignment="1">
      <alignment vertical="top" wrapText="1"/>
    </xf>
    <xf numFmtId="0" fontId="59" fillId="0" borderId="1" xfId="0" applyFont="1" applyBorder="1" applyAlignment="1">
      <alignment vertical="top" wrapText="1"/>
    </xf>
    <xf numFmtId="0" fontId="59" fillId="0" borderId="4" xfId="0" applyFont="1" applyBorder="1" applyAlignment="1">
      <alignment vertical="top" wrapText="1"/>
    </xf>
    <xf numFmtId="0" fontId="59" fillId="0" borderId="9" xfId="0" applyFont="1" applyBorder="1" applyAlignment="1">
      <alignment vertical="top" wrapText="1"/>
    </xf>
    <xf numFmtId="0" fontId="87" fillId="12" borderId="2" xfId="0" applyFont="1" applyFill="1" applyBorder="1" applyAlignment="1">
      <alignment horizontal="left" vertical="top" wrapText="1"/>
    </xf>
    <xf numFmtId="0" fontId="87" fillId="12" borderId="7" xfId="0" applyFont="1" applyFill="1" applyBorder="1" applyAlignment="1">
      <alignment horizontal="left" vertical="top" wrapText="1"/>
    </xf>
    <xf numFmtId="0" fontId="60" fillId="12" borderId="0" xfId="0" applyFont="1" applyFill="1" applyBorder="1" applyAlignment="1">
      <alignment horizontal="left" vertical="top" wrapText="1"/>
    </xf>
    <xf numFmtId="0" fontId="60" fillId="12" borderId="3" xfId="0" applyFont="1" applyFill="1" applyBorder="1" applyAlignment="1">
      <alignment horizontal="left" vertical="top" wrapText="1"/>
    </xf>
    <xf numFmtId="0" fontId="60" fillId="12" borderId="4" xfId="0" applyFont="1" applyFill="1" applyBorder="1" applyAlignment="1">
      <alignment horizontal="left" vertical="top" wrapText="1"/>
    </xf>
    <xf numFmtId="0" fontId="60" fillId="12" borderId="9" xfId="0" applyFont="1" applyFill="1" applyBorder="1" applyAlignment="1">
      <alignment horizontal="left" vertical="top" wrapText="1"/>
    </xf>
    <xf numFmtId="0" fontId="98" fillId="21" borderId="6" xfId="0" applyFont="1" applyFill="1" applyBorder="1" applyAlignment="1">
      <alignment horizontal="left" vertical="center" wrapText="1"/>
    </xf>
    <xf numFmtId="0" fontId="98" fillId="21" borderId="10" xfId="0" applyFont="1" applyFill="1" applyBorder="1" applyAlignment="1">
      <alignment horizontal="left" vertical="center" wrapText="1"/>
    </xf>
    <xf numFmtId="44" fontId="32" fillId="0" borderId="6" xfId="0" applyNumberFormat="1" applyFont="1" applyBorder="1" applyAlignment="1">
      <alignment horizontal="center" vertical="center" wrapText="1"/>
    </xf>
    <xf numFmtId="0" fontId="0" fillId="0" borderId="10" xfId="0" applyBorder="1" applyAlignment="1">
      <alignment horizontal="center" vertical="center" wrapText="1"/>
    </xf>
    <xf numFmtId="0" fontId="32" fillId="0" borderId="7" xfId="0" applyFont="1" applyBorder="1" applyAlignment="1">
      <alignment horizontal="center" vertical="center" wrapText="1"/>
    </xf>
    <xf numFmtId="0" fontId="0" fillId="0" borderId="9" xfId="0" applyBorder="1" applyAlignment="1">
      <alignment horizontal="center" vertical="center" wrapText="1"/>
    </xf>
    <xf numFmtId="0" fontId="32" fillId="0" borderId="0" xfId="0" applyFont="1" applyAlignment="1">
      <alignment horizontal="center" vertical="center" wrapText="1"/>
    </xf>
    <xf numFmtId="0" fontId="0" fillId="0" borderId="0" xfId="0" applyAlignment="1">
      <alignment horizontal="center" vertical="center" wrapText="1"/>
    </xf>
    <xf numFmtId="0" fontId="32" fillId="0" borderId="5" xfId="0" applyFont="1" applyBorder="1" applyAlignment="1">
      <alignment horizontal="center" vertical="center" wrapText="1"/>
    </xf>
    <xf numFmtId="0" fontId="0" fillId="0" borderId="13" xfId="0" applyBorder="1" applyAlignment="1">
      <alignment horizontal="center" vertical="center" wrapText="1"/>
    </xf>
    <xf numFmtId="44" fontId="56" fillId="0" borderId="8" xfId="0" applyNumberFormat="1" applyFont="1" applyBorder="1" applyAlignment="1">
      <alignment horizontal="center" vertical="center" wrapText="1"/>
    </xf>
    <xf numFmtId="0" fontId="56" fillId="0" borderId="21" xfId="0" applyFont="1" applyBorder="1" applyAlignment="1">
      <alignment horizontal="center" vertical="center" wrapText="1"/>
    </xf>
    <xf numFmtId="0" fontId="56" fillId="0" borderId="22" xfId="0" applyFont="1" applyBorder="1" applyAlignment="1">
      <alignment horizontal="center" vertical="center" wrapText="1"/>
    </xf>
    <xf numFmtId="42" fontId="56" fillId="0" borderId="12" xfId="3" applyNumberFormat="1" applyFont="1" applyBorder="1" applyAlignment="1">
      <alignment horizontal="center" vertical="center"/>
    </xf>
    <xf numFmtId="42" fontId="56" fillId="0" borderId="13" xfId="3" applyNumberFormat="1" applyFont="1" applyBorder="1" applyAlignment="1">
      <alignment horizontal="center" vertical="center"/>
    </xf>
    <xf numFmtId="0" fontId="14" fillId="0" borderId="0" xfId="5" applyFont="1" applyAlignment="1">
      <alignment horizontal="center"/>
    </xf>
    <xf numFmtId="0" fontId="7" fillId="14" borderId="49" xfId="0" applyFont="1" applyFill="1" applyBorder="1" applyAlignment="1">
      <alignment horizontal="center"/>
    </xf>
    <xf numFmtId="0" fontId="7" fillId="14" borderId="50" xfId="0" applyFont="1" applyFill="1" applyBorder="1" applyAlignment="1">
      <alignment horizontal="center"/>
    </xf>
    <xf numFmtId="0" fontId="7" fillId="14" borderId="51" xfId="0" applyFont="1" applyFill="1" applyBorder="1" applyAlignment="1">
      <alignment horizontal="center"/>
    </xf>
    <xf numFmtId="0" fontId="43" fillId="12" borderId="30" xfId="0" applyFont="1" applyFill="1" applyBorder="1" applyAlignment="1">
      <alignment horizontal="left" vertical="top" wrapText="1"/>
    </xf>
    <xf numFmtId="0" fontId="43" fillId="12" borderId="31" xfId="0" applyFont="1" applyFill="1" applyBorder="1" applyAlignment="1">
      <alignment horizontal="left" vertical="top" wrapText="1"/>
    </xf>
    <xf numFmtId="0" fontId="43" fillId="12" borderId="33" xfId="0" applyFont="1" applyFill="1" applyBorder="1" applyAlignment="1">
      <alignment horizontal="left" vertical="top" wrapText="1"/>
    </xf>
    <xf numFmtId="0" fontId="43" fillId="0" borderId="42" xfId="0" applyFont="1" applyFill="1" applyBorder="1" applyAlignment="1">
      <alignment horizontal="center" vertical="top" wrapText="1"/>
    </xf>
    <xf numFmtId="0" fontId="43" fillId="0" borderId="36" xfId="0" applyFont="1" applyFill="1" applyBorder="1" applyAlignment="1">
      <alignment horizontal="center" vertical="top" wrapText="1"/>
    </xf>
    <xf numFmtId="0" fontId="43" fillId="0" borderId="63" xfId="0" applyFont="1" applyFill="1" applyBorder="1" applyAlignment="1">
      <alignment horizontal="center" vertical="top" wrapText="1"/>
    </xf>
    <xf numFmtId="0" fontId="43" fillId="11" borderId="30" xfId="0" applyFont="1" applyFill="1" applyBorder="1" applyAlignment="1">
      <alignment horizontal="left" vertical="top" wrapText="1"/>
    </xf>
    <xf numFmtId="0" fontId="43" fillId="11" borderId="31" xfId="0" applyFont="1" applyFill="1" applyBorder="1" applyAlignment="1">
      <alignment horizontal="left" vertical="top" wrapText="1"/>
    </xf>
    <xf numFmtId="0" fontId="43" fillId="11" borderId="33" xfId="0" applyFont="1" applyFill="1" applyBorder="1" applyAlignment="1">
      <alignment horizontal="left" vertical="top" wrapText="1"/>
    </xf>
    <xf numFmtId="0" fontId="59" fillId="0" borderId="0" xfId="0" applyFont="1" applyBorder="1" applyAlignment="1">
      <alignment horizontal="left" vertical="top" wrapText="1"/>
    </xf>
    <xf numFmtId="0" fontId="0" fillId="0" borderId="0" xfId="0" applyBorder="1" applyAlignment="1">
      <alignment wrapText="1"/>
    </xf>
    <xf numFmtId="0" fontId="7" fillId="14" borderId="6"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7" fillId="14" borderId="10" xfId="0" applyFont="1" applyFill="1" applyBorder="1" applyAlignment="1">
      <alignment horizontal="center" vertical="center" wrapText="1"/>
    </xf>
    <xf numFmtId="0" fontId="7" fillId="14" borderId="9" xfId="0" applyFont="1" applyFill="1" applyBorder="1" applyAlignment="1">
      <alignment horizontal="center" vertical="center" wrapText="1"/>
    </xf>
    <xf numFmtId="0" fontId="113" fillId="26" borderId="1" xfId="0" applyFont="1" applyFill="1" applyBorder="1" applyAlignment="1">
      <alignment horizontal="left" vertical="top" wrapText="1"/>
    </xf>
    <xf numFmtId="0" fontId="113" fillId="26" borderId="0" xfId="0" applyFont="1" applyFill="1" applyBorder="1" applyAlignment="1">
      <alignment horizontal="left" vertical="top" wrapText="1"/>
    </xf>
    <xf numFmtId="0" fontId="113" fillId="26" borderId="3" xfId="0" applyFont="1" applyFill="1" applyBorder="1" applyAlignment="1">
      <alignment horizontal="left" vertical="top" wrapText="1"/>
    </xf>
    <xf numFmtId="0" fontId="113" fillId="26" borderId="10" xfId="0" applyFont="1" applyFill="1" applyBorder="1" applyAlignment="1">
      <alignment horizontal="left" vertical="top" wrapText="1"/>
    </xf>
    <xf numFmtId="0" fontId="113" fillId="26" borderId="4" xfId="0" applyFont="1" applyFill="1" applyBorder="1" applyAlignment="1">
      <alignment horizontal="left" vertical="top" wrapText="1"/>
    </xf>
    <xf numFmtId="0" fontId="113" fillId="26" borderId="9" xfId="0" applyFont="1" applyFill="1" applyBorder="1" applyAlignment="1">
      <alignment horizontal="left" vertical="top" wrapText="1"/>
    </xf>
    <xf numFmtId="0" fontId="56" fillId="0" borderId="39" xfId="0" applyFont="1" applyBorder="1" applyAlignment="1">
      <alignment horizontal="center" vertical="center" wrapText="1"/>
    </xf>
    <xf numFmtId="6" fontId="56" fillId="0" borderId="8" xfId="0" applyNumberFormat="1" applyFont="1" applyBorder="1" applyAlignment="1">
      <alignment horizontal="center" vertical="center" wrapText="1"/>
    </xf>
    <xf numFmtId="0" fontId="0" fillId="0" borderId="0" xfId="0" applyAlignment="1">
      <alignment horizontal="left"/>
    </xf>
    <xf numFmtId="0" fontId="0" fillId="0" borderId="0" xfId="0" applyBorder="1" applyAlignment="1">
      <alignment horizontal="center"/>
    </xf>
    <xf numFmtId="9" fontId="64" fillId="5" borderId="5" xfId="8" applyNumberFormat="1" applyFont="1" applyFill="1" applyBorder="1" applyAlignment="1">
      <alignment horizontal="center" wrapText="1"/>
    </xf>
    <xf numFmtId="9" fontId="64" fillId="5" borderId="13" xfId="8" applyNumberFormat="1" applyFont="1" applyFill="1" applyBorder="1" applyAlignment="1">
      <alignment horizontal="center" wrapText="1"/>
    </xf>
    <xf numFmtId="0" fontId="0" fillId="0" borderId="0" xfId="0" applyBorder="1" applyAlignment="1">
      <alignment horizontal="left" vertical="top"/>
    </xf>
    <xf numFmtId="0" fontId="129" fillId="0" borderId="0" xfId="0" applyFont="1" applyAlignment="1">
      <alignment horizontal="center"/>
    </xf>
    <xf numFmtId="0" fontId="0" fillId="0" borderId="0" xfId="0" applyAlignment="1">
      <alignment horizontal="left" vertical="top"/>
    </xf>
    <xf numFmtId="0" fontId="129" fillId="0" borderId="0" xfId="0" applyFont="1" applyAlignment="1">
      <alignment horizontal="left" vertical="top"/>
    </xf>
    <xf numFmtId="0" fontId="0" fillId="0" borderId="0" xfId="0" applyBorder="1" applyAlignment="1">
      <alignment horizontal="left" vertical="top" wrapText="1"/>
    </xf>
    <xf numFmtId="0" fontId="1" fillId="0" borderId="0" xfId="0" applyFont="1" applyBorder="1" applyAlignment="1">
      <alignment horizontal="left" vertical="top"/>
    </xf>
    <xf numFmtId="0" fontId="129" fillId="0" borderId="2" xfId="0" applyFont="1" applyBorder="1" applyAlignment="1">
      <alignment horizontal="center"/>
    </xf>
    <xf numFmtId="0" fontId="129" fillId="0" borderId="0" xfId="0" applyFont="1" applyAlignment="1">
      <alignment horizontal="center" vertical="center"/>
    </xf>
    <xf numFmtId="0" fontId="5" fillId="5" borderId="10" xfId="0" applyFont="1" applyFill="1" applyBorder="1" applyAlignment="1">
      <alignment horizontal="left"/>
    </xf>
    <xf numFmtId="0" fontId="5" fillId="5" borderId="4" xfId="0" applyFont="1" applyFill="1" applyBorder="1" applyAlignment="1">
      <alignment horizontal="left"/>
    </xf>
    <xf numFmtId="0" fontId="5" fillId="5" borderId="9" xfId="0" applyFont="1" applyFill="1" applyBorder="1" applyAlignment="1">
      <alignment horizontal="left"/>
    </xf>
    <xf numFmtId="9" fontId="64" fillId="5" borderId="49" xfId="8" applyFont="1" applyFill="1" applyBorder="1" applyAlignment="1">
      <alignment horizontal="left"/>
    </xf>
    <xf numFmtId="9" fontId="64" fillId="5" borderId="50" xfId="8" applyFont="1" applyFill="1" applyBorder="1" applyAlignment="1">
      <alignment horizontal="left"/>
    </xf>
    <xf numFmtId="9" fontId="64" fillId="5" borderId="51" xfId="8" applyFont="1" applyFill="1" applyBorder="1" applyAlignment="1">
      <alignment horizontal="left"/>
    </xf>
    <xf numFmtId="0" fontId="0" fillId="14" borderId="49" xfId="0" applyFill="1" applyBorder="1" applyAlignment="1">
      <alignment horizontal="left" wrapText="1"/>
    </xf>
    <xf numFmtId="0" fontId="0" fillId="14" borderId="50" xfId="0" applyFill="1" applyBorder="1" applyAlignment="1">
      <alignment horizontal="left" wrapText="1"/>
    </xf>
    <xf numFmtId="0" fontId="0" fillId="14" borderId="51" xfId="0" applyFill="1" applyBorder="1" applyAlignment="1">
      <alignment horizontal="left" wrapText="1"/>
    </xf>
    <xf numFmtId="0" fontId="0" fillId="14" borderId="49" xfId="0" applyFill="1" applyBorder="1" applyAlignment="1">
      <alignment horizontal="left"/>
    </xf>
    <xf numFmtId="0" fontId="0" fillId="14" borderId="50" xfId="0" applyFill="1" applyBorder="1" applyAlignment="1">
      <alignment horizontal="left"/>
    </xf>
    <xf numFmtId="0" fontId="0" fillId="14" borderId="51" xfId="0" applyFill="1" applyBorder="1" applyAlignment="1">
      <alignment horizontal="left"/>
    </xf>
    <xf numFmtId="0" fontId="0" fillId="0" borderId="2" xfId="0" applyBorder="1" applyAlignment="1">
      <alignment horizontal="center" vertical="center"/>
    </xf>
    <xf numFmtId="0" fontId="1" fillId="0" borderId="0" xfId="0" applyFont="1" applyBorder="1" applyAlignment="1">
      <alignment horizontal="left" vertical="top" wrapText="1"/>
    </xf>
  </cellXfs>
  <cellStyles count="11">
    <cellStyle name="Comma" xfId="1" builtinId="3"/>
    <cellStyle name="Comma 2" xfId="9"/>
    <cellStyle name="Comma 3" xfId="2"/>
    <cellStyle name="Currency" xfId="3" builtinId="4"/>
    <cellStyle name="Currency 2" xfId="4"/>
    <cellStyle name="Normal" xfId="0" builtinId="0"/>
    <cellStyle name="Normal 2" xfId="5"/>
    <cellStyle name="Normal_NGF_MultiYear_FB_Report" xfId="6"/>
    <cellStyle name="Normal_NGF_MultiYear_FB_Report_prelim" xfId="7"/>
    <cellStyle name="Percent" xfId="8" builtinId="5"/>
    <cellStyle name="Percent 2"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10</xdr:col>
      <xdr:colOff>485775</xdr:colOff>
      <xdr:row>59</xdr:row>
      <xdr:rowOff>133350</xdr:rowOff>
    </xdr:to>
    <xdr:pic>
      <xdr:nvPicPr>
        <xdr:cNvPr id="2057" name="Picture 1" descr="ASI Letterhead 2">
          <a:extLst>
            <a:ext uri="{FF2B5EF4-FFF2-40B4-BE49-F238E27FC236}">
              <a16:creationId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6515100" cy="963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574523</xdr:colOff>
      <xdr:row>0</xdr:row>
      <xdr:rowOff>90714</xdr:rowOff>
    </xdr:from>
    <xdr:to>
      <xdr:col>10</xdr:col>
      <xdr:colOff>428625</xdr:colOff>
      <xdr:row>59</xdr:row>
      <xdr:rowOff>114300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793723" y="90714"/>
          <a:ext cx="4730902" cy="957716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sz="1100" b="0" i="0" u="none" strike="noStrike" baseline="0">
              <a:solidFill>
                <a:srgbClr val="000000"/>
              </a:solidFill>
              <a:latin typeface="Calibri"/>
            </a:rPr>
            <a:t> </a:t>
          </a:r>
        </a:p>
        <a:p>
          <a:pPr algn="ctr" rtl="0">
            <a:defRPr sz="1000"/>
          </a:pPr>
          <a:r>
            <a:rPr lang="en-US" sz="1100" b="1" i="0" u="none" strike="noStrike" baseline="0">
              <a:solidFill>
                <a:srgbClr val="000000"/>
              </a:solidFill>
              <a:latin typeface="Calibri"/>
            </a:rPr>
            <a:t>Memo</a:t>
          </a:r>
        </a:p>
        <a:p>
          <a:pPr algn="l" rtl="0">
            <a:defRPr sz="1000"/>
          </a:pPr>
          <a:r>
            <a:rPr lang="en-US" sz="1100" b="0" i="0" u="none" strike="noStrike" baseline="0">
              <a:solidFill>
                <a:srgbClr val="000000"/>
              </a:solidFill>
              <a:latin typeface="Calibri"/>
            </a:rPr>
            <a:t> </a:t>
          </a:r>
        </a:p>
        <a:p>
          <a:pPr algn="l" rtl="0">
            <a:defRPr sz="1000"/>
          </a:pPr>
          <a:r>
            <a:rPr lang="en-US" sz="1100" b="0" i="0" u="none" strike="noStrike" baseline="0">
              <a:solidFill>
                <a:srgbClr val="000000"/>
              </a:solidFill>
              <a:latin typeface="Calibri"/>
            </a:rPr>
            <a:t> </a:t>
          </a:r>
        </a:p>
        <a:p>
          <a:pPr algn="l" rtl="0">
            <a:defRPr sz="1000"/>
          </a:pPr>
          <a:r>
            <a:rPr lang="en-US" sz="1100" b="0" i="0" u="none" strike="noStrike" baseline="0">
              <a:solidFill>
                <a:srgbClr val="000000"/>
              </a:solidFill>
              <a:latin typeface="Calibri"/>
            </a:rPr>
            <a:t>DATE:     	Monday, March 19, 2013</a:t>
          </a:r>
        </a:p>
        <a:p>
          <a:pPr algn="l" rtl="0">
            <a:defRPr sz="1000"/>
          </a:pPr>
          <a:r>
            <a:rPr lang="en-US" sz="1100" b="0" i="0" u="none" strike="noStrike" baseline="0">
              <a:solidFill>
                <a:srgbClr val="000000"/>
              </a:solidFill>
              <a:latin typeface="Calibri"/>
            </a:rPr>
            <a:t> </a:t>
          </a:r>
        </a:p>
        <a:p>
          <a:pPr algn="l" rtl="0">
            <a:defRPr sz="1000"/>
          </a:pPr>
          <a:r>
            <a:rPr lang="en-US" sz="1100" b="0" i="0" u="none" strike="noStrike" baseline="0">
              <a:solidFill>
                <a:srgbClr val="000000"/>
              </a:solidFill>
              <a:latin typeface="Calibri"/>
            </a:rPr>
            <a:t>TO:         	Dr. Anthony Ross, Vice President for Student Affairs</a:t>
          </a:r>
        </a:p>
        <a:p>
          <a:pPr algn="l" rtl="0">
            <a:defRPr sz="1000"/>
          </a:pPr>
          <a:r>
            <a:rPr lang="en-US" sz="1100" b="0" i="0" u="none" strike="noStrike" baseline="0">
              <a:solidFill>
                <a:srgbClr val="000000"/>
              </a:solidFill>
              <a:latin typeface="Calibri"/>
            </a:rPr>
            <a:t> </a:t>
          </a:r>
        </a:p>
        <a:p>
          <a:pPr algn="l" rtl="0">
            <a:defRPr sz="1000"/>
          </a:pPr>
          <a:r>
            <a:rPr lang="en-US" sz="1100" b="0" i="0" u="none" strike="noStrike" baseline="0">
              <a:solidFill>
                <a:srgbClr val="000000"/>
              </a:solidFill>
              <a:latin typeface="Calibri"/>
            </a:rPr>
            <a:t>FROM:  	Intef W. Weser, A.S.I. Executive Director</a:t>
          </a:r>
        </a:p>
        <a:p>
          <a:pPr algn="l" rtl="0">
            <a:defRPr sz="1000"/>
          </a:pPr>
          <a:endParaRPr lang="en-US" sz="1100" b="0" i="0" u="none" strike="noStrike" baseline="0">
            <a:solidFill>
              <a:srgbClr val="000000"/>
            </a:solidFill>
            <a:latin typeface="+mn-lt"/>
          </a:endParaRPr>
        </a:p>
        <a:p>
          <a:pPr algn="l" rtl="0">
            <a:defRPr sz="1000"/>
          </a:pPr>
          <a:r>
            <a:rPr lang="en-US" sz="1100" b="0" i="0" u="none" strike="noStrike" baseline="0">
              <a:solidFill>
                <a:srgbClr val="000000"/>
              </a:solidFill>
              <a:latin typeface="+mn-lt"/>
            </a:rPr>
            <a:t>CC:          	</a:t>
          </a:r>
          <a:r>
            <a:rPr lang="en-US" sz="1100" b="0" i="0" baseline="0">
              <a:solidFill>
                <a:schemeClr val="dk1"/>
              </a:solidFill>
              <a:latin typeface="+mn-lt"/>
              <a:ea typeface="+mn-ea"/>
              <a:cs typeface="+mn-cs"/>
            </a:rPr>
            <a:t>A.S.I. B.OD., Finance Committee, A.S.I. Staff, &amp; </a:t>
          </a:r>
          <a:r>
            <a:rPr lang="en-US" sz="1100" b="0" i="0" u="none" strike="noStrike" baseline="0">
              <a:solidFill>
                <a:srgbClr val="000000"/>
              </a:solidFill>
              <a:latin typeface="+mn-lt"/>
            </a:rPr>
            <a:t>File</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SUBJECT:     	</a:t>
          </a:r>
          <a:r>
            <a:rPr lang="en-US" sz="1100" b="0" i="0" baseline="0">
              <a:solidFill>
                <a:schemeClr val="dk1"/>
              </a:solidFill>
              <a:latin typeface="+mn-lt"/>
              <a:ea typeface="+mn-ea"/>
              <a:cs typeface="+mn-cs"/>
            </a:rPr>
            <a:t>2012-2013 A.S.I. 6&amp;6 Budget Review</a:t>
          </a:r>
          <a:endParaRPr lang="en-US" sz="1100" b="0" i="0" u="none" strike="noStrike" baseline="0">
            <a:solidFill>
              <a:srgbClr val="000000"/>
            </a:solidFill>
            <a:latin typeface="+mn-lt"/>
          </a:endParaRPr>
        </a:p>
        <a:p>
          <a:pPr algn="l" rtl="0">
            <a:defRPr sz="1000"/>
          </a:pPr>
          <a:r>
            <a:rPr lang="en-US" sz="1100" b="0" i="0" u="none" strike="noStrike" baseline="0">
              <a:solidFill>
                <a:srgbClr val="000000"/>
              </a:solidFill>
              <a:latin typeface="+mn-lt"/>
            </a:rPr>
            <a:t> </a:t>
          </a:r>
        </a:p>
        <a:p>
          <a:pPr algn="l" rtl="0">
            <a:defRPr sz="1000"/>
          </a:pPr>
          <a:r>
            <a:rPr lang="en-US" sz="1100" b="0" i="0" baseline="0">
              <a:solidFill>
                <a:schemeClr val="dk1"/>
              </a:solidFill>
              <a:latin typeface="+mn-lt"/>
              <a:ea typeface="+mn-ea"/>
              <a:cs typeface="+mn-cs"/>
            </a:rPr>
            <a:t>Attached is a copy of the 2012-2013 Associated Students, Inc. 6&amp;6 Budget Review.   </a:t>
          </a:r>
          <a:r>
            <a:rPr lang="en-US" sz="1100" b="0" i="0" u="none" strike="noStrike" baseline="0">
              <a:solidFill>
                <a:srgbClr val="000000"/>
              </a:solidFill>
              <a:latin typeface="+mn-lt"/>
            </a:rPr>
            <a:t>The budget was presented to and approved by the A.S.I. Board of Directors on Thursday, March 14, 2013.  </a:t>
          </a:r>
        </a:p>
        <a:p>
          <a:pPr algn="l" rtl="0">
            <a:defRPr sz="1000"/>
          </a:pPr>
          <a:endParaRPr lang="en-US" sz="1100" b="0" i="0" u="none" strike="noStrike" baseline="0">
            <a:solidFill>
              <a:srgbClr val="000000"/>
            </a:solidFill>
            <a:latin typeface="+mn-lt"/>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100">
              <a:solidFill>
                <a:schemeClr val="dk1"/>
              </a:solidFill>
              <a:latin typeface="+mn-lt"/>
              <a:ea typeface="+mn-ea"/>
              <a:cs typeface="+mn-cs"/>
            </a:rPr>
            <a:t>Please note that the recommendations in this budget were reviewed by the University Budget Office.</a:t>
          </a:r>
          <a:r>
            <a:rPr lang="en-US" sz="1100" baseline="0">
              <a:solidFill>
                <a:schemeClr val="dk1"/>
              </a:solidFill>
              <a:latin typeface="+mn-lt"/>
              <a:ea typeface="+mn-ea"/>
              <a:cs typeface="+mn-cs"/>
            </a:rPr>
            <a:t> </a:t>
          </a:r>
          <a:endParaRPr lang="en-US" sz="1100" b="0" i="0" u="none" strike="noStrike" baseline="0">
            <a:solidFill>
              <a:srgbClr val="000000"/>
            </a:solidFill>
            <a:latin typeface="+mn-lt"/>
          </a:endParaRP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Once approved by you please forward it on to Mrs. Lisa Chavez, Vice President for Administration and Chief Financial Officer.  Once approved by the Vice Presidents, we ask that the budget will be forwarded to the University President’s Office for final approval. </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If you have any questions, please contact Intef W. Weser at 3-5858. </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Calibri"/>
            </a:rPr>
            <a:t> </a:t>
          </a:r>
        </a:p>
        <a:p>
          <a:pPr algn="l" rtl="0">
            <a:defRPr sz="1000"/>
          </a:pPr>
          <a:r>
            <a:rPr lang="en-US" sz="1100" b="0" i="0" u="none" strike="noStrike" baseline="0">
              <a:solidFill>
                <a:srgbClr val="000000"/>
              </a:solidFill>
              <a:latin typeface="Calibri"/>
            </a:rPr>
            <a:t> </a:t>
          </a:r>
        </a:p>
        <a:p>
          <a:pPr algn="l" rtl="0">
            <a:defRPr sz="1000"/>
          </a:pPr>
          <a:r>
            <a:rPr lang="en-US" sz="1100" b="0" i="0" u="none" strike="noStrike" baseline="0">
              <a:solidFill>
                <a:srgbClr val="000000"/>
              </a:solidFill>
              <a:latin typeface="Calibri"/>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47625</xdr:rowOff>
    </xdr:from>
    <xdr:to>
      <xdr:col>10</xdr:col>
      <xdr:colOff>542925</xdr:colOff>
      <xdr:row>60</xdr:row>
      <xdr:rowOff>114300</xdr:rowOff>
    </xdr:to>
    <xdr:pic>
      <xdr:nvPicPr>
        <xdr:cNvPr id="3081" name="Picture 1" descr="ASI Letterhead 2">
          <a:extLst>
            <a:ext uri="{FF2B5EF4-FFF2-40B4-BE49-F238E27FC236}">
              <a16:creationId xmlns:a16="http://schemas.microsoft.com/office/drawing/2014/main" id="{00000000-0008-0000-0100-000009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47625"/>
          <a:ext cx="6610350" cy="983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476250</xdr:colOff>
      <xdr:row>0</xdr:row>
      <xdr:rowOff>90714</xdr:rowOff>
    </xdr:from>
    <xdr:to>
      <xdr:col>11</xdr:col>
      <xdr:colOff>19050</xdr:colOff>
      <xdr:row>60</xdr:row>
      <xdr:rowOff>75595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695450" y="90714"/>
          <a:ext cx="5029200" cy="970038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sz="1100" b="0" i="0" u="none" strike="noStrike" baseline="0">
              <a:solidFill>
                <a:srgbClr val="000000"/>
              </a:solidFill>
              <a:latin typeface="Calibri"/>
            </a:rPr>
            <a:t> </a:t>
          </a:r>
        </a:p>
        <a:p>
          <a:pPr algn="ctr" rtl="0">
            <a:defRPr sz="1000"/>
          </a:pPr>
          <a:r>
            <a:rPr lang="en-US" sz="2800" b="0" i="0" u="none" strike="noStrike" baseline="0">
              <a:solidFill>
                <a:srgbClr val="000000"/>
              </a:solidFill>
              <a:latin typeface="+mn-lt"/>
            </a:rPr>
            <a:t>Memo</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DATE:     </a:t>
          </a:r>
          <a:r>
            <a:rPr lang="en-US" sz="1100" b="0" i="0" u="none" strike="noStrike" baseline="0">
              <a:solidFill>
                <a:schemeClr val="tx1"/>
              </a:solidFill>
              <a:latin typeface="+mn-lt"/>
            </a:rPr>
            <a:t>	Friday, March 8, 2013</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TO:         	A.S.I. Board of Directors</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FROM:  	Intef W. Weser, A.S.I. Executive Director</a:t>
          </a:r>
        </a:p>
        <a:p>
          <a:pPr algn="l" rtl="0">
            <a:defRPr sz="1000"/>
          </a:pPr>
          <a:r>
            <a:rPr lang="en-US" sz="1100" b="0" i="0" u="none" strike="noStrike" baseline="0">
              <a:solidFill>
                <a:srgbClr val="000000"/>
              </a:solidFill>
              <a:effectLst/>
              <a:latin typeface="+mn-lt"/>
              <a:ea typeface="+mn-ea"/>
              <a:cs typeface="+mn-cs"/>
            </a:rPr>
            <a:t>	</a:t>
          </a:r>
          <a:r>
            <a:rPr lang="en-US" sz="1100" b="0" i="0" baseline="0">
              <a:solidFill>
                <a:schemeClr val="dk1"/>
              </a:solidFill>
              <a:effectLst/>
              <a:latin typeface="+mn-lt"/>
              <a:ea typeface="+mn-ea"/>
              <a:cs typeface="+mn-cs"/>
            </a:rPr>
            <a:t>A.S.I. Finance Committee</a:t>
          </a:r>
        </a:p>
        <a:p>
          <a:pPr algn="l" rtl="0">
            <a:defRPr sz="1000"/>
          </a:pPr>
          <a:endParaRPr lang="en-US" sz="1100" b="0" i="0" u="none" strike="noStrike" baseline="0">
            <a:solidFill>
              <a:srgbClr val="000000"/>
            </a:solidFill>
            <a:latin typeface="+mn-lt"/>
          </a:endParaRPr>
        </a:p>
        <a:p>
          <a:pPr algn="l" rtl="0">
            <a:defRPr sz="1000"/>
          </a:pPr>
          <a:r>
            <a:rPr lang="en-US" sz="1100" b="0" i="0" u="none" strike="noStrike" baseline="0">
              <a:solidFill>
                <a:srgbClr val="000000"/>
              </a:solidFill>
              <a:latin typeface="+mn-lt"/>
            </a:rPr>
            <a:t>CC:          	</a:t>
          </a:r>
          <a:r>
            <a:rPr lang="en-US" sz="1100" b="0" i="0" baseline="0">
              <a:solidFill>
                <a:schemeClr val="dk1"/>
              </a:solidFill>
              <a:latin typeface="+mn-lt"/>
              <a:ea typeface="+mn-ea"/>
              <a:cs typeface="+mn-cs"/>
            </a:rPr>
            <a:t>A.S.I. Staff</a:t>
          </a:r>
        </a:p>
        <a:p>
          <a:pPr algn="l" rtl="0">
            <a:defRPr sz="1000"/>
          </a:pPr>
          <a:r>
            <a:rPr lang="en-US" sz="1100" b="0" i="0" baseline="0">
              <a:solidFill>
                <a:schemeClr val="dk1"/>
              </a:solidFill>
              <a:latin typeface="+mn-lt"/>
              <a:ea typeface="+mn-ea"/>
              <a:cs typeface="+mn-cs"/>
            </a:rPr>
            <a:t>	</a:t>
          </a:r>
          <a:r>
            <a:rPr lang="en-US" sz="1100" baseline="0">
              <a:solidFill>
                <a:schemeClr val="dk1"/>
              </a:solidFill>
              <a:effectLst/>
              <a:latin typeface="+mn-lt"/>
              <a:ea typeface="+mn-ea"/>
              <a:cs typeface="+mn-cs"/>
            </a:rPr>
            <a:t>University Budget Office</a:t>
          </a:r>
          <a:r>
            <a:rPr lang="en-US" sz="1100" b="0" i="0" baseline="0">
              <a:solidFill>
                <a:schemeClr val="dk1"/>
              </a:solidFill>
              <a:latin typeface="+mn-lt"/>
              <a:ea typeface="+mn-ea"/>
              <a:cs typeface="+mn-cs"/>
            </a:rPr>
            <a:t> </a:t>
          </a:r>
        </a:p>
        <a:p>
          <a:pPr algn="l" rtl="0">
            <a:defRPr sz="1000"/>
          </a:pPr>
          <a:r>
            <a:rPr lang="en-US" sz="1100" b="0" i="0" u="none" strike="noStrike" baseline="0">
              <a:solidFill>
                <a:schemeClr val="dk1"/>
              </a:solidFill>
              <a:latin typeface="+mn-lt"/>
              <a:ea typeface="+mn-ea"/>
              <a:cs typeface="+mn-cs"/>
            </a:rPr>
            <a:t>	</a:t>
          </a:r>
          <a:r>
            <a:rPr lang="en-US" sz="1100" b="0" i="0" u="none" strike="noStrike" baseline="0">
              <a:solidFill>
                <a:srgbClr val="000000"/>
              </a:solidFill>
              <a:latin typeface="+mn-lt"/>
            </a:rPr>
            <a:t>File</a:t>
          </a:r>
        </a:p>
        <a:p>
          <a:pPr algn="l" rtl="0">
            <a:defRPr sz="1000"/>
          </a:pPr>
          <a:r>
            <a:rPr lang="en-US" sz="1100" b="0" i="0" u="none" strike="noStrike" baseline="0">
              <a:solidFill>
                <a:srgbClr val="000000"/>
              </a:solidFill>
              <a:latin typeface="+mn-lt"/>
            </a:rPr>
            <a:t> </a:t>
          </a:r>
        </a:p>
        <a:p>
          <a:pPr rtl="0"/>
          <a:r>
            <a:rPr lang="en-US" sz="1100" b="0" i="0" u="none" strike="noStrike" baseline="0">
              <a:solidFill>
                <a:srgbClr val="000000"/>
              </a:solidFill>
              <a:latin typeface="+mn-lt"/>
            </a:rPr>
            <a:t>SUBJECT:     	</a:t>
          </a:r>
          <a:r>
            <a:rPr lang="en-US" sz="1100" b="0" i="0" baseline="0">
              <a:solidFill>
                <a:schemeClr val="dk1"/>
              </a:solidFill>
              <a:effectLst/>
              <a:latin typeface="+mn-lt"/>
              <a:ea typeface="+mn-ea"/>
              <a:cs typeface="+mn-cs"/>
            </a:rPr>
            <a:t>2012-2013 A.S.I. 6&amp;6 Budget Review	</a:t>
          </a:r>
          <a:endParaRPr lang="en-US">
            <a:effectLst/>
          </a:endParaRPr>
        </a:p>
        <a:p>
          <a:pPr algn="l" rtl="0">
            <a:defRPr sz="1000"/>
          </a:pPr>
          <a:r>
            <a:rPr lang="en-US" sz="1100" b="0" i="0" u="none" strike="noStrike" baseline="0">
              <a:solidFill>
                <a:srgbClr val="000000"/>
              </a:solidFill>
              <a:latin typeface="+mn-lt"/>
            </a:rPr>
            <a:t> </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solidFill>
                <a:schemeClr val="dk1"/>
              </a:solidFill>
              <a:latin typeface="+mn-lt"/>
              <a:ea typeface="+mn-ea"/>
              <a:cs typeface="+mn-cs"/>
            </a:rPr>
            <a:t>Attached is a copy of the </a:t>
          </a:r>
          <a:r>
            <a:rPr lang="en-US" sz="1100" b="0" i="0" baseline="0">
              <a:solidFill>
                <a:schemeClr val="dk1"/>
              </a:solidFill>
              <a:effectLst/>
              <a:latin typeface="+mn-lt"/>
              <a:ea typeface="+mn-ea"/>
              <a:cs typeface="+mn-cs"/>
            </a:rPr>
            <a:t>2012-2013 A.S.I. 6&amp;6 Budget Review</a:t>
          </a:r>
          <a:r>
            <a:rPr lang="en-US" sz="1100" b="0" i="0" baseline="0">
              <a:solidFill>
                <a:schemeClr val="dk1"/>
              </a:solidFill>
              <a:latin typeface="+mn-lt"/>
              <a:ea typeface="+mn-ea"/>
              <a:cs typeface="+mn-cs"/>
            </a:rPr>
            <a:t>.   </a:t>
          </a:r>
          <a:endParaRPr lang="en-US" sz="1100">
            <a:solidFill>
              <a:schemeClr val="dk1"/>
            </a:solidFill>
            <a:latin typeface="+mn-lt"/>
            <a:ea typeface="+mn-ea"/>
            <a:cs typeface="+mn-cs"/>
          </a:endParaRPr>
        </a:p>
        <a:p>
          <a:pPr rtl="0" fontAlgn="base"/>
          <a:endParaRPr lang="en-US" sz="1100" b="0" i="0" baseline="0">
            <a:solidFill>
              <a:schemeClr val="dk1"/>
            </a:solidFill>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This budget has been reviewed and approved by the University Budget Office.  The budget was approved by the </a:t>
          </a:r>
          <a:r>
            <a:rPr lang="en-US" sz="1100">
              <a:solidFill>
                <a:schemeClr val="dk1"/>
              </a:solidFill>
              <a:effectLst/>
              <a:latin typeface="+mn-lt"/>
              <a:ea typeface="+mn-ea"/>
              <a:cs typeface="+mn-cs"/>
            </a:rPr>
            <a:t>Finance Committee on Friday, March 8, 2013 </a:t>
          </a:r>
          <a:r>
            <a:rPr lang="en-US" sz="1100" baseline="0">
              <a:solidFill>
                <a:schemeClr val="dk1"/>
              </a:solidFill>
              <a:effectLst/>
              <a:latin typeface="+mn-lt"/>
              <a:ea typeface="+mn-ea"/>
              <a:cs typeface="+mn-cs"/>
            </a:rPr>
            <a:t>and </a:t>
          </a:r>
          <a:r>
            <a:rPr lang="en-US" sz="1100">
              <a:solidFill>
                <a:schemeClr val="dk1"/>
              </a:solidFill>
              <a:effectLst/>
              <a:latin typeface="+mn-lt"/>
              <a:ea typeface="+mn-ea"/>
              <a:cs typeface="+mn-cs"/>
            </a:rPr>
            <a:t>recommended to</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be forwarded to the Board of Directors for approval.  </a:t>
          </a:r>
        </a:p>
        <a:p>
          <a:pPr marL="0" marR="0" indent="0" defTabSz="914400" rtl="0" eaLnBrk="1" fontAlgn="auto" latinLnBrk="0" hangingPunct="1">
            <a:lnSpc>
              <a:spcPct val="100000"/>
            </a:lnSpc>
            <a:spcBef>
              <a:spcPts val="0"/>
            </a:spcBef>
            <a:spcAft>
              <a:spcPts val="0"/>
            </a:spcAft>
            <a:buClrTx/>
            <a:buSzTx/>
            <a:buFontTx/>
            <a:buNone/>
            <a:tabLst/>
            <a:defRPr/>
          </a:pPr>
          <a:endParaRPr lang="en-US">
            <a:effectLst/>
          </a:endParaRPr>
        </a:p>
        <a:p>
          <a:r>
            <a:rPr lang="en-US" sz="1100">
              <a:solidFill>
                <a:schemeClr val="dk1"/>
              </a:solidFill>
              <a:effectLst/>
              <a:latin typeface="+mn-lt"/>
              <a:ea typeface="+mn-ea"/>
              <a:cs typeface="+mn-cs"/>
            </a:rPr>
            <a:t>If approved, by the B.O.D.  the budget will be sent to Dr. Anthony Ross, Vice President for Student Affairs and Mrs. Lisa Chavez, Vice President for Administration and Chief Financial Officer.  Once approved, the budget will be forwarded to the University President’s Office for final approval.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If you have any questions, please contact Intef W. Weser at 323-343-5858. </a:t>
          </a:r>
          <a:endParaRPr lang="en-US">
            <a:effectLst/>
          </a:endParaRP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Calibri"/>
            </a:rPr>
            <a:t> </a:t>
          </a:r>
        </a:p>
        <a:p>
          <a:pPr algn="l" rtl="0">
            <a:defRPr sz="1000"/>
          </a:pPr>
          <a:r>
            <a:rPr lang="en-US" sz="1100" b="0" i="0" u="none" strike="noStrike" baseline="0">
              <a:solidFill>
                <a:srgbClr val="000000"/>
              </a:solidFill>
              <a:latin typeface="Calibri"/>
            </a:rPr>
            <a:t> </a:t>
          </a:r>
        </a:p>
        <a:p>
          <a:pPr algn="l" rtl="0">
            <a:defRPr sz="1000"/>
          </a:pPr>
          <a:r>
            <a:rPr lang="en-US" sz="1100" b="0" i="0" u="none" strike="noStrike" baseline="0">
              <a:solidFill>
                <a:srgbClr val="000000"/>
              </a:solidFill>
              <a:latin typeface="Calibri"/>
            </a:rPr>
            <a:t> </a:t>
          </a:r>
        </a:p>
        <a:p>
          <a:pPr algn="l" rtl="0">
            <a:defRPr sz="1000"/>
          </a:pPr>
          <a:r>
            <a:rPr lang="en-US" sz="1100" b="0" i="0" u="none" strike="noStrike" baseline="0">
              <a:solidFill>
                <a:srgbClr val="000000"/>
              </a:solidFill>
              <a:latin typeface="Calibri"/>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10</xdr:col>
      <xdr:colOff>485775</xdr:colOff>
      <xdr:row>59</xdr:row>
      <xdr:rowOff>133350</xdr:rowOff>
    </xdr:to>
    <xdr:pic>
      <xdr:nvPicPr>
        <xdr:cNvPr id="4105" name="Picture 1" descr="ASI Letterhead 2">
          <a:extLst>
            <a:ext uri="{FF2B5EF4-FFF2-40B4-BE49-F238E27FC236}">
              <a16:creationId xmlns:a16="http://schemas.microsoft.com/office/drawing/2014/main" id="{00000000-0008-0000-0200-000009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6515100" cy="963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574523</xdr:colOff>
      <xdr:row>0</xdr:row>
      <xdr:rowOff>90714</xdr:rowOff>
    </xdr:from>
    <xdr:to>
      <xdr:col>10</xdr:col>
      <xdr:colOff>428625</xdr:colOff>
      <xdr:row>59</xdr:row>
      <xdr:rowOff>114300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793723" y="90714"/>
          <a:ext cx="4730902" cy="957716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sz="1100" b="0" i="0" u="none" strike="noStrike" baseline="0">
              <a:solidFill>
                <a:srgbClr val="000000"/>
              </a:solidFill>
              <a:latin typeface="Calibri"/>
            </a:rPr>
            <a:t> </a:t>
          </a:r>
        </a:p>
        <a:p>
          <a:pPr algn="ctr" rtl="0">
            <a:defRPr sz="1000"/>
          </a:pPr>
          <a:r>
            <a:rPr lang="en-US" sz="1100" b="1" i="0" u="none" strike="noStrike" baseline="0">
              <a:solidFill>
                <a:srgbClr val="000000"/>
              </a:solidFill>
              <a:latin typeface="Calibri"/>
            </a:rPr>
            <a:t>Memo</a:t>
          </a:r>
        </a:p>
        <a:p>
          <a:pPr algn="l" rtl="0">
            <a:defRPr sz="1000"/>
          </a:pPr>
          <a:r>
            <a:rPr lang="en-US" sz="1100" b="0" i="0" u="none" strike="noStrike" baseline="0">
              <a:solidFill>
                <a:srgbClr val="000000"/>
              </a:solidFill>
              <a:latin typeface="Calibri"/>
            </a:rPr>
            <a:t> </a:t>
          </a:r>
        </a:p>
        <a:p>
          <a:pPr algn="l" rtl="0">
            <a:defRPr sz="1000"/>
          </a:pPr>
          <a:r>
            <a:rPr lang="en-US" sz="1100" b="0" i="0" u="none" strike="noStrike" baseline="0">
              <a:solidFill>
                <a:srgbClr val="000000"/>
              </a:solidFill>
              <a:latin typeface="Calibri"/>
            </a:rPr>
            <a:t> </a:t>
          </a:r>
        </a:p>
        <a:p>
          <a:pPr algn="l" rtl="0">
            <a:defRPr sz="1000"/>
          </a:pPr>
          <a:r>
            <a:rPr lang="en-US" sz="1100" b="0" i="0" u="none" strike="noStrike" baseline="0">
              <a:solidFill>
                <a:srgbClr val="000000"/>
              </a:solidFill>
              <a:latin typeface="Calibri"/>
            </a:rPr>
            <a:t>DATE:     	Thursday,  November 29, 2012</a:t>
          </a:r>
        </a:p>
        <a:p>
          <a:pPr algn="l" rtl="0">
            <a:defRPr sz="1000"/>
          </a:pPr>
          <a:r>
            <a:rPr lang="en-US" sz="1100" b="0" i="0" u="none" strike="noStrike" baseline="0">
              <a:solidFill>
                <a:srgbClr val="000000"/>
              </a:solidFill>
              <a:latin typeface="Calibri"/>
            </a:rPr>
            <a:t> </a:t>
          </a:r>
        </a:p>
        <a:p>
          <a:pPr algn="l" rtl="0">
            <a:defRPr sz="1000"/>
          </a:pPr>
          <a:r>
            <a:rPr lang="en-US" sz="1100" b="0" i="0" u="none" strike="noStrike" baseline="0">
              <a:solidFill>
                <a:srgbClr val="000000"/>
              </a:solidFill>
              <a:latin typeface="Calibri"/>
            </a:rPr>
            <a:t>TO:         	 A.S.I. Board of Directors</a:t>
          </a:r>
        </a:p>
        <a:p>
          <a:pPr algn="l" rtl="0">
            <a:defRPr sz="1000"/>
          </a:pPr>
          <a:r>
            <a:rPr lang="en-US" sz="1100" b="0" i="0" u="none" strike="noStrike" baseline="0">
              <a:solidFill>
                <a:srgbClr val="000000"/>
              </a:solidFill>
              <a:latin typeface="Calibri"/>
            </a:rPr>
            <a:t> </a:t>
          </a:r>
        </a:p>
        <a:p>
          <a:pPr algn="l" rtl="0">
            <a:defRPr sz="1000"/>
          </a:pPr>
          <a:r>
            <a:rPr lang="en-US" sz="1100" b="0" i="0" u="none" strike="noStrike" baseline="0">
              <a:solidFill>
                <a:srgbClr val="000000"/>
              </a:solidFill>
              <a:latin typeface="Calibri"/>
            </a:rPr>
            <a:t>FROM:  	 Intef W. Weser, A.S.I. Executive Director</a:t>
          </a:r>
        </a:p>
        <a:p>
          <a:pPr algn="l" rtl="0">
            <a:defRPr sz="1000"/>
          </a:pPr>
          <a:endParaRPr lang="en-US" sz="1100" b="0" i="0" u="none" strike="noStrike" baseline="0">
            <a:solidFill>
              <a:srgbClr val="000000"/>
            </a:solidFill>
            <a:latin typeface="+mn-lt"/>
          </a:endParaRPr>
        </a:p>
        <a:p>
          <a:pPr algn="l" rtl="0">
            <a:defRPr sz="1000"/>
          </a:pPr>
          <a:r>
            <a:rPr lang="en-US" sz="1100" b="0" i="0" u="none" strike="noStrike" baseline="0">
              <a:solidFill>
                <a:srgbClr val="000000"/>
              </a:solidFill>
              <a:latin typeface="+mn-lt"/>
            </a:rPr>
            <a:t>CC:          	</a:t>
          </a:r>
          <a:r>
            <a:rPr lang="en-US" sz="1100" b="0" i="0" baseline="0">
              <a:solidFill>
                <a:schemeClr val="dk1"/>
              </a:solidFill>
              <a:latin typeface="+mn-lt"/>
              <a:ea typeface="+mn-ea"/>
              <a:cs typeface="+mn-cs"/>
            </a:rPr>
            <a:t> A.S.I. Finance Committee, A.S.I. Staff, &amp; </a:t>
          </a:r>
          <a:r>
            <a:rPr lang="en-US" sz="1100" b="0" i="0" u="none" strike="noStrike" baseline="0">
              <a:solidFill>
                <a:srgbClr val="000000"/>
              </a:solidFill>
              <a:latin typeface="+mn-lt"/>
            </a:rPr>
            <a:t>File</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SUBJECT:     	</a:t>
          </a:r>
          <a:r>
            <a:rPr lang="en-US" sz="1100" b="0" i="0" baseline="0">
              <a:solidFill>
                <a:schemeClr val="dk1"/>
              </a:solidFill>
              <a:latin typeface="+mn-lt"/>
              <a:ea typeface="+mn-ea"/>
              <a:cs typeface="+mn-cs"/>
            </a:rPr>
            <a:t>2012-2013 A.S.I. 3&amp;9 Budget Review</a:t>
          </a:r>
          <a:endParaRPr lang="en-US" sz="1100" b="0" i="0" u="none" strike="noStrike" baseline="0">
            <a:solidFill>
              <a:srgbClr val="000000"/>
            </a:solidFill>
            <a:latin typeface="+mn-lt"/>
          </a:endParaRPr>
        </a:p>
        <a:p>
          <a:pPr algn="l" rtl="0">
            <a:defRPr sz="1000"/>
          </a:pPr>
          <a:r>
            <a:rPr lang="en-US" sz="1100" b="0" i="0" u="none" strike="noStrike" baseline="0">
              <a:solidFill>
                <a:srgbClr val="000000"/>
              </a:solidFill>
              <a:latin typeface="+mn-lt"/>
            </a:rPr>
            <a:t> </a:t>
          </a:r>
        </a:p>
        <a:p>
          <a:pPr algn="l" rtl="0">
            <a:defRPr sz="1000"/>
          </a:pPr>
          <a:r>
            <a:rPr lang="en-US" sz="1100" b="0" i="0" baseline="0">
              <a:solidFill>
                <a:schemeClr val="dk1"/>
              </a:solidFill>
              <a:latin typeface="+mn-lt"/>
              <a:ea typeface="+mn-ea"/>
              <a:cs typeface="+mn-cs"/>
            </a:rPr>
            <a:t>Attached is a copy of the 2012-2013 Associated Students, Inc. 3&amp;9 Budget Review .   </a:t>
          </a:r>
          <a:r>
            <a:rPr lang="en-US" sz="1100" b="0" i="0" u="none" strike="noStrike" baseline="0">
              <a:solidFill>
                <a:srgbClr val="000000"/>
              </a:solidFill>
              <a:latin typeface="+mn-lt"/>
            </a:rPr>
            <a:t>The budget was presented to and approved by the A.S.I. Finance Committee on Friday, November 16, 2012.  </a:t>
          </a:r>
        </a:p>
        <a:p>
          <a:pPr algn="l" rtl="0">
            <a:defRPr sz="1000"/>
          </a:pPr>
          <a:endParaRPr lang="en-US" sz="1100" b="0" i="0" u="none" strike="noStrike" baseline="0">
            <a:solidFill>
              <a:srgbClr val="000000"/>
            </a:solidFill>
            <a:latin typeface="+mn-lt"/>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100">
              <a:solidFill>
                <a:schemeClr val="dk1"/>
              </a:solidFill>
              <a:latin typeface="+mn-lt"/>
              <a:ea typeface="+mn-ea"/>
              <a:cs typeface="+mn-cs"/>
            </a:rPr>
            <a:t>Since the budgets approval  by the</a:t>
          </a:r>
          <a:r>
            <a:rPr lang="en-US" sz="1100" baseline="0">
              <a:solidFill>
                <a:schemeClr val="dk1"/>
              </a:solidFill>
              <a:latin typeface="+mn-lt"/>
              <a:ea typeface="+mn-ea"/>
              <a:cs typeface="+mn-cs"/>
            </a:rPr>
            <a:t> Finance Committee </a:t>
          </a:r>
          <a:r>
            <a:rPr lang="en-US" sz="1100">
              <a:solidFill>
                <a:schemeClr val="dk1"/>
              </a:solidFill>
              <a:latin typeface="+mn-lt"/>
              <a:ea typeface="+mn-ea"/>
              <a:cs typeface="+mn-cs"/>
            </a:rPr>
            <a:t>on November 16,</a:t>
          </a:r>
          <a:r>
            <a:rPr lang="en-US" sz="1100" baseline="0">
              <a:solidFill>
                <a:schemeClr val="dk1"/>
              </a:solidFill>
              <a:latin typeface="+mn-lt"/>
              <a:ea typeface="+mn-ea"/>
              <a:cs typeface="+mn-cs"/>
            </a:rPr>
            <a:t> 2012 </a:t>
          </a:r>
          <a:r>
            <a:rPr lang="en-US" sz="1100" baseline="0">
              <a:solidFill>
                <a:schemeClr val="dk1"/>
              </a:solidFill>
              <a:effectLst/>
              <a:latin typeface="+mn-lt"/>
              <a:ea typeface="+mn-ea"/>
              <a:cs typeface="+mn-cs"/>
            </a:rPr>
            <a:t>t</a:t>
          </a:r>
          <a:r>
            <a:rPr lang="en-US" sz="1100">
              <a:solidFill>
                <a:schemeClr val="dk1"/>
              </a:solidFill>
              <a:effectLst/>
              <a:latin typeface="+mn-lt"/>
              <a:ea typeface="+mn-ea"/>
              <a:cs typeface="+mn-cs"/>
            </a:rPr>
            <a:t>here are</a:t>
          </a:r>
          <a:r>
            <a:rPr lang="en-US" sz="1100" baseline="0">
              <a:solidFill>
                <a:schemeClr val="dk1"/>
              </a:solidFill>
              <a:effectLst/>
              <a:latin typeface="+mn-lt"/>
              <a:ea typeface="+mn-ea"/>
              <a:cs typeface="+mn-cs"/>
            </a:rPr>
            <a:t> two recommended changes  beeing offered after Finance Committee approval found in </a:t>
          </a:r>
          <a:r>
            <a:rPr lang="en-US" sz="1100" u="sng" baseline="0">
              <a:solidFill>
                <a:srgbClr val="FF0000"/>
              </a:solidFill>
              <a:effectLst/>
              <a:latin typeface="+mn-lt"/>
              <a:ea typeface="+mn-ea"/>
              <a:cs typeface="+mn-cs"/>
            </a:rPr>
            <a:t>red</a:t>
          </a:r>
          <a:r>
            <a:rPr lang="en-US" sz="1100" baseline="0">
              <a:solidFill>
                <a:schemeClr val="dk1"/>
              </a:solidFill>
              <a:effectLst/>
              <a:latin typeface="+mn-lt"/>
              <a:ea typeface="+mn-ea"/>
              <a:cs typeface="+mn-cs"/>
            </a:rPr>
            <a:t> on the </a:t>
          </a:r>
          <a:r>
            <a:rPr lang="en-US" sz="1100">
              <a:solidFill>
                <a:schemeClr val="dk1"/>
              </a:solidFill>
              <a:effectLst/>
              <a:latin typeface="+mn-lt"/>
              <a:ea typeface="+mn-ea"/>
              <a:cs typeface="+mn-cs"/>
            </a:rPr>
            <a:t>Student &amp; University Support (Page</a:t>
          </a:r>
          <a:r>
            <a:rPr lang="en-US" sz="1100" baseline="0">
              <a:solidFill>
                <a:schemeClr val="dk1"/>
              </a:solidFill>
              <a:effectLst/>
              <a:latin typeface="+mn-lt"/>
              <a:ea typeface="+mn-ea"/>
              <a:cs typeface="+mn-cs"/>
            </a:rPr>
            <a:t> 3).</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1100" baseline="0">
            <a:solidFill>
              <a:schemeClr val="dk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100">
              <a:solidFill>
                <a:schemeClr val="dk1"/>
              </a:solidFill>
              <a:latin typeface="+mn-lt"/>
              <a:ea typeface="+mn-ea"/>
              <a:cs typeface="+mn-cs"/>
            </a:rPr>
            <a:t>Please note that the recommendations in this budget are have been reviewed and approved by the University Budget Office.</a:t>
          </a:r>
          <a:r>
            <a:rPr lang="en-US" sz="1100" baseline="0">
              <a:solidFill>
                <a:schemeClr val="dk1"/>
              </a:solidFill>
              <a:latin typeface="+mn-lt"/>
              <a:ea typeface="+mn-ea"/>
              <a:cs typeface="+mn-cs"/>
            </a:rPr>
            <a:t> </a:t>
          </a:r>
          <a:endParaRPr lang="en-US" sz="1100" b="0" i="0" u="none" strike="noStrike" baseline="0">
            <a:solidFill>
              <a:srgbClr val="000000"/>
            </a:solidFill>
            <a:latin typeface="+mn-lt"/>
          </a:endParaRP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Once approved by the Board of Directors, it will be sent to  Dr. Anthony Ross, Vice President of Student Affairs and Mrs. Lisa Chavez, Vice President of Administration and Chief Financial Officer.  Once approved by the Vice Presidents, the budget will be forwarded to the University President’s Office for final approval. </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If you have any questions, please contact Intef W. Weser at 3-5858. </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Calibri"/>
            </a:rPr>
            <a:t> </a:t>
          </a:r>
        </a:p>
        <a:p>
          <a:pPr algn="l" rtl="0">
            <a:defRPr sz="1000"/>
          </a:pPr>
          <a:r>
            <a:rPr lang="en-US" sz="1100" b="0" i="0" u="none" strike="noStrike" baseline="0">
              <a:solidFill>
                <a:srgbClr val="000000"/>
              </a:solidFill>
              <a:latin typeface="Calibri"/>
            </a:rPr>
            <a:t> </a:t>
          </a:r>
        </a:p>
        <a:p>
          <a:pPr algn="l" rtl="0">
            <a:defRPr sz="1000"/>
          </a:pPr>
          <a:r>
            <a:rPr lang="en-US" sz="1100" b="0" i="0" u="none" strike="noStrike" baseline="0">
              <a:solidFill>
                <a:srgbClr val="000000"/>
              </a:solidFill>
              <a:latin typeface="Calibri"/>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0</xdr:row>
      <xdr:rowOff>47625</xdr:rowOff>
    </xdr:from>
    <xdr:to>
      <xdr:col>10</xdr:col>
      <xdr:colOff>542925</xdr:colOff>
      <xdr:row>60</xdr:row>
      <xdr:rowOff>114300</xdr:rowOff>
    </xdr:to>
    <xdr:pic>
      <xdr:nvPicPr>
        <xdr:cNvPr id="2" name="Picture 1" descr="ASI Letterhead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47625"/>
          <a:ext cx="6610350" cy="978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574523</xdr:colOff>
      <xdr:row>0</xdr:row>
      <xdr:rowOff>90714</xdr:rowOff>
    </xdr:from>
    <xdr:to>
      <xdr:col>10</xdr:col>
      <xdr:colOff>514047</xdr:colOff>
      <xdr:row>60</xdr:row>
      <xdr:rowOff>75595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793723" y="90714"/>
          <a:ext cx="4816324" cy="970038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sz="1100" b="0" i="0" u="none" strike="noStrike" baseline="0">
              <a:solidFill>
                <a:srgbClr val="000000"/>
              </a:solidFill>
              <a:latin typeface="Calibri"/>
            </a:rPr>
            <a:t> </a:t>
          </a:r>
        </a:p>
        <a:p>
          <a:pPr algn="ctr" rtl="0">
            <a:defRPr sz="1000"/>
          </a:pPr>
          <a:r>
            <a:rPr lang="en-US" sz="2800" b="0" i="0" u="none" strike="noStrike" baseline="0">
              <a:solidFill>
                <a:srgbClr val="000000"/>
              </a:solidFill>
              <a:latin typeface="+mn-lt"/>
            </a:rPr>
            <a:t>Memo</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DATE:     </a:t>
          </a:r>
          <a:r>
            <a:rPr lang="en-US" sz="1100" b="0" i="0" u="none" strike="noStrike" baseline="0">
              <a:solidFill>
                <a:schemeClr val="tx1"/>
              </a:solidFill>
              <a:latin typeface="+mn-lt"/>
            </a:rPr>
            <a:t>	 Friday, February 12, 2013</a:t>
          </a:r>
        </a:p>
        <a:p>
          <a:pPr algn="l" rtl="0">
            <a:defRPr sz="1000"/>
          </a:pPr>
          <a:r>
            <a:rPr lang="en-US" sz="1100" b="0" i="0" u="none" strike="noStrike" baseline="0">
              <a:solidFill>
                <a:srgbClr val="000000"/>
              </a:solidFill>
              <a:latin typeface="+mn-lt"/>
            </a:rPr>
            <a:t> </a:t>
          </a:r>
        </a:p>
        <a:p>
          <a:pPr rtl="0"/>
          <a:r>
            <a:rPr lang="en-US" sz="1100" b="0" i="0" u="none" strike="noStrike" baseline="0">
              <a:solidFill>
                <a:srgbClr val="000000"/>
              </a:solidFill>
              <a:latin typeface="+mn-lt"/>
            </a:rPr>
            <a:t>TO:         	 </a:t>
          </a:r>
          <a:r>
            <a:rPr lang="en-US" sz="1100" b="0" i="0" baseline="0">
              <a:solidFill>
                <a:schemeClr val="dk1"/>
              </a:solidFill>
              <a:effectLst/>
              <a:latin typeface="+mn-lt"/>
              <a:ea typeface="+mn-ea"/>
              <a:cs typeface="+mn-cs"/>
            </a:rPr>
            <a:t>A.S.I. Finance Committee</a:t>
          </a:r>
          <a:endParaRPr lang="en-US">
            <a:effectLst/>
          </a:endParaRP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FROM:  	</a:t>
          </a:r>
          <a:r>
            <a:rPr lang="en-US" sz="1100" b="0" i="0" baseline="0">
              <a:solidFill>
                <a:schemeClr val="dk1"/>
              </a:solidFill>
              <a:latin typeface="+mn-lt"/>
              <a:ea typeface="+mn-ea"/>
              <a:cs typeface="+mn-cs"/>
            </a:rPr>
            <a:t> Intef W. Weser, A.S.I. Executive Director</a:t>
          </a:r>
        </a:p>
        <a:p>
          <a:pPr algn="l" rtl="0">
            <a:defRPr sz="1000"/>
          </a:pPr>
          <a:r>
            <a:rPr lang="en-US" sz="1100" b="0" i="0" baseline="0">
              <a:solidFill>
                <a:schemeClr val="dk1"/>
              </a:solidFill>
              <a:latin typeface="+mn-lt"/>
              <a:ea typeface="+mn-ea"/>
              <a:cs typeface="+mn-cs"/>
            </a:rPr>
            <a:t>	 Matthew Lin, A.S.I. VP for Finance</a:t>
          </a:r>
        </a:p>
        <a:p>
          <a:pPr algn="l" rtl="0">
            <a:defRPr sz="1000"/>
          </a:pPr>
          <a:r>
            <a:rPr lang="en-US" sz="1100" b="0" i="0" baseline="0">
              <a:solidFill>
                <a:schemeClr val="dk1"/>
              </a:solidFill>
              <a:latin typeface="+mn-lt"/>
              <a:ea typeface="+mn-ea"/>
              <a:cs typeface="+mn-cs"/>
            </a:rPr>
            <a:t>	 Hector Escobar, A.S.I. President</a:t>
          </a:r>
        </a:p>
        <a:p>
          <a:pPr algn="l" rtl="0">
            <a:defRPr sz="1000"/>
          </a:pPr>
          <a:endParaRPr lang="en-US" sz="1100" b="0" i="0" u="none" strike="noStrike" baseline="0">
            <a:solidFill>
              <a:srgbClr val="000000"/>
            </a:solidFill>
            <a:latin typeface="+mn-lt"/>
          </a:endParaRPr>
        </a:p>
        <a:p>
          <a:pPr algn="l" rtl="0">
            <a:defRPr sz="1000"/>
          </a:pPr>
          <a:r>
            <a:rPr lang="en-US" sz="1100" b="0" i="0" u="none" strike="noStrike" baseline="0">
              <a:solidFill>
                <a:srgbClr val="000000"/>
              </a:solidFill>
              <a:latin typeface="+mn-lt"/>
            </a:rPr>
            <a:t>CC:          	</a:t>
          </a:r>
          <a:r>
            <a:rPr lang="en-US" sz="1100" b="0" i="0" baseline="0">
              <a:solidFill>
                <a:schemeClr val="dk1"/>
              </a:solidFill>
              <a:latin typeface="+mn-lt"/>
              <a:ea typeface="+mn-ea"/>
              <a:cs typeface="+mn-cs"/>
            </a:rPr>
            <a:t> A.S.I. Staff, &amp; </a:t>
          </a:r>
          <a:r>
            <a:rPr lang="en-US" sz="1100" b="0" i="0" u="none" strike="noStrike" baseline="0">
              <a:solidFill>
                <a:srgbClr val="000000"/>
              </a:solidFill>
              <a:latin typeface="+mn-lt"/>
            </a:rPr>
            <a:t>File</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SUBJECT:     	</a:t>
          </a:r>
          <a:r>
            <a:rPr lang="en-US" sz="1100" b="0" i="0" baseline="0">
              <a:solidFill>
                <a:schemeClr val="dk1"/>
              </a:solidFill>
              <a:latin typeface="+mn-lt"/>
              <a:ea typeface="+mn-ea"/>
              <a:cs typeface="+mn-cs"/>
            </a:rPr>
            <a:t>2012-2013 A.S.I. 6&amp;6 Budget Review</a:t>
          </a:r>
          <a:endParaRPr lang="en-US" sz="1100" b="0" i="0" u="none" strike="noStrike" baseline="0">
            <a:solidFill>
              <a:srgbClr val="000000"/>
            </a:solidFill>
            <a:latin typeface="+mn-lt"/>
          </a:endParaRPr>
        </a:p>
        <a:p>
          <a:pPr algn="l" rtl="0">
            <a:defRPr sz="1000"/>
          </a:pPr>
          <a:r>
            <a:rPr lang="en-US" sz="1100" b="0" i="0" u="none" strike="noStrike" baseline="0">
              <a:solidFill>
                <a:srgbClr val="000000"/>
              </a:solidFill>
              <a:latin typeface="+mn-lt"/>
            </a:rPr>
            <a:t> </a:t>
          </a:r>
        </a:p>
        <a:p>
          <a:pPr rtl="0"/>
          <a:r>
            <a:rPr lang="en-US" sz="1100" b="0" i="0" baseline="0">
              <a:solidFill>
                <a:schemeClr val="dk1"/>
              </a:solidFill>
              <a:latin typeface="+mn-lt"/>
              <a:ea typeface="+mn-ea"/>
              <a:cs typeface="+mn-cs"/>
            </a:rPr>
            <a:t>Attached is a draft copy of the 2012-2013 Associated Students, Inc. 6&amp;6 Budget Review.   </a:t>
          </a:r>
          <a:endParaRPr lang="en-US" sz="1100">
            <a:solidFill>
              <a:schemeClr val="dk1"/>
            </a:solidFill>
            <a:latin typeface="+mn-lt"/>
            <a:ea typeface="+mn-ea"/>
            <a:cs typeface="+mn-cs"/>
          </a:endParaRPr>
        </a:p>
        <a:p>
          <a:pPr rtl="0" fontAlgn="base"/>
          <a:endParaRPr lang="en-US" sz="1100" b="0" i="0" baseline="0">
            <a:solidFill>
              <a:schemeClr val="dk1"/>
            </a:solidFill>
            <a:latin typeface="+mn-lt"/>
            <a:ea typeface="+mn-ea"/>
            <a:cs typeface="+mn-cs"/>
          </a:endParaRPr>
        </a:p>
        <a:p>
          <a:r>
            <a:rPr lang="en-US" sz="1100">
              <a:solidFill>
                <a:schemeClr val="dk1"/>
              </a:solidFill>
              <a:effectLst/>
              <a:latin typeface="+mn-lt"/>
              <a:ea typeface="+mn-ea"/>
              <a:cs typeface="+mn-cs"/>
            </a:rPr>
            <a:t>Please note that the recommendations in this budget are still in the process of being reviewed by the University Budget Office.</a:t>
          </a:r>
          <a:r>
            <a:rPr lang="en-US" sz="1100" baseline="0">
              <a:solidFill>
                <a:schemeClr val="dk1"/>
              </a:solidFill>
              <a:effectLst/>
              <a:latin typeface="+mn-lt"/>
              <a:ea typeface="+mn-ea"/>
              <a:cs typeface="+mn-cs"/>
            </a:rPr>
            <a:t>  </a:t>
          </a:r>
        </a:p>
        <a:p>
          <a:r>
            <a:rPr lang="en-US" sz="1100">
              <a:solidFill>
                <a:schemeClr val="dk1"/>
              </a:solidFill>
              <a:effectLst/>
              <a:latin typeface="+mn-lt"/>
              <a:ea typeface="+mn-ea"/>
              <a:cs typeface="+mn-cs"/>
            </a:rPr>
            <a:t>  </a:t>
          </a:r>
          <a:endParaRPr lang="en-US" sz="1100">
            <a:effectLst/>
            <a:latin typeface="+mn-lt"/>
          </a:endParaRPr>
        </a:p>
        <a:p>
          <a:r>
            <a:rPr lang="en-US" sz="1100">
              <a:solidFill>
                <a:schemeClr val="dk1"/>
              </a:solidFill>
              <a:effectLst/>
              <a:latin typeface="+mn-lt"/>
              <a:ea typeface="+mn-ea"/>
              <a:cs typeface="+mn-cs"/>
            </a:rPr>
            <a:t>If you have any questions, please contact Intef W. Weser at 323-343-5858. </a:t>
          </a:r>
          <a:endParaRPr lang="en-US" sz="1100">
            <a:effectLst/>
            <a:latin typeface="+mn-lt"/>
          </a:endParaRP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0</xdr:row>
      <xdr:rowOff>47625</xdr:rowOff>
    </xdr:from>
    <xdr:to>
      <xdr:col>10</xdr:col>
      <xdr:colOff>542925</xdr:colOff>
      <xdr:row>60</xdr:row>
      <xdr:rowOff>114300</xdr:rowOff>
    </xdr:to>
    <xdr:pic>
      <xdr:nvPicPr>
        <xdr:cNvPr id="5129" name="Picture 1" descr="ASI Letterhead 2">
          <a:extLst>
            <a:ext uri="{FF2B5EF4-FFF2-40B4-BE49-F238E27FC236}">
              <a16:creationId xmlns:a16="http://schemas.microsoft.com/office/drawing/2014/main" id="{00000000-0008-0000-0400-000009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47625"/>
          <a:ext cx="6610350" cy="978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574523</xdr:colOff>
      <xdr:row>0</xdr:row>
      <xdr:rowOff>90714</xdr:rowOff>
    </xdr:from>
    <xdr:to>
      <xdr:col>10</xdr:col>
      <xdr:colOff>514047</xdr:colOff>
      <xdr:row>60</xdr:row>
      <xdr:rowOff>75595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784047" y="90714"/>
          <a:ext cx="4777619" cy="996345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sz="1100" b="0" i="0" u="none" strike="noStrike" baseline="0">
              <a:solidFill>
                <a:srgbClr val="000000"/>
              </a:solidFill>
              <a:latin typeface="Calibri"/>
            </a:rPr>
            <a:t> </a:t>
          </a:r>
        </a:p>
        <a:p>
          <a:pPr algn="ctr" rtl="0">
            <a:defRPr sz="1000"/>
          </a:pPr>
          <a:r>
            <a:rPr lang="en-US" sz="2800" b="0" i="0" u="none" strike="noStrike" baseline="0">
              <a:solidFill>
                <a:srgbClr val="000000"/>
              </a:solidFill>
              <a:latin typeface="+mn-lt"/>
            </a:rPr>
            <a:t>Memo</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DATE:     </a:t>
          </a:r>
          <a:r>
            <a:rPr lang="en-US" sz="1100" b="0" i="0" u="none" strike="noStrike" baseline="0">
              <a:solidFill>
                <a:schemeClr val="tx1"/>
              </a:solidFill>
              <a:latin typeface="+mn-lt"/>
            </a:rPr>
            <a:t>	 Friday, March 8, 2013</a:t>
          </a:r>
        </a:p>
        <a:p>
          <a:pPr algn="l" rtl="0">
            <a:defRPr sz="1000"/>
          </a:pPr>
          <a:r>
            <a:rPr lang="en-US" sz="1100" b="0" i="0" u="none" strike="noStrike" baseline="0">
              <a:solidFill>
                <a:srgbClr val="000000"/>
              </a:solidFill>
              <a:latin typeface="+mn-lt"/>
            </a:rPr>
            <a:t> </a:t>
          </a:r>
        </a:p>
        <a:p>
          <a:pPr rtl="0"/>
          <a:r>
            <a:rPr lang="en-US" sz="1100" b="0" i="0" u="none" strike="noStrike" baseline="0">
              <a:solidFill>
                <a:srgbClr val="000000"/>
              </a:solidFill>
              <a:latin typeface="+mn-lt"/>
            </a:rPr>
            <a:t>TO:         	 </a:t>
          </a:r>
          <a:r>
            <a:rPr lang="en-US" sz="1100" b="0" i="0" baseline="0">
              <a:solidFill>
                <a:schemeClr val="dk1"/>
              </a:solidFill>
              <a:effectLst/>
              <a:latin typeface="+mn-lt"/>
              <a:ea typeface="+mn-ea"/>
              <a:cs typeface="+mn-cs"/>
            </a:rPr>
            <a:t>A.S.I. Finance Committee</a:t>
          </a:r>
          <a:endParaRPr lang="en-US">
            <a:effectLst/>
          </a:endParaRP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FROM:  	</a:t>
          </a:r>
          <a:r>
            <a:rPr lang="en-US" sz="1100" b="0" i="0" baseline="0">
              <a:solidFill>
                <a:schemeClr val="dk1"/>
              </a:solidFill>
              <a:latin typeface="+mn-lt"/>
              <a:ea typeface="+mn-ea"/>
              <a:cs typeface="+mn-cs"/>
            </a:rPr>
            <a:t> Intef W. Weser, A.S.I. Executive Director</a:t>
          </a:r>
        </a:p>
        <a:p>
          <a:pPr algn="l" rtl="0">
            <a:defRPr sz="1000"/>
          </a:pPr>
          <a:r>
            <a:rPr lang="en-US" sz="1100" b="0" i="0" baseline="0">
              <a:solidFill>
                <a:schemeClr val="dk1"/>
              </a:solidFill>
              <a:latin typeface="+mn-lt"/>
              <a:ea typeface="+mn-ea"/>
              <a:cs typeface="+mn-cs"/>
            </a:rPr>
            <a:t>	 Matthew Lin, A.S.I. VP for Finance</a:t>
          </a:r>
        </a:p>
        <a:p>
          <a:pPr algn="l" rtl="0">
            <a:defRPr sz="1000"/>
          </a:pPr>
          <a:r>
            <a:rPr lang="en-US" sz="1100" b="0" i="0" baseline="0">
              <a:solidFill>
                <a:schemeClr val="dk1"/>
              </a:solidFill>
              <a:latin typeface="+mn-lt"/>
              <a:ea typeface="+mn-ea"/>
              <a:cs typeface="+mn-cs"/>
            </a:rPr>
            <a:t>	 Hector Escobar, A.S.I. President</a:t>
          </a:r>
        </a:p>
        <a:p>
          <a:pPr algn="l" rtl="0">
            <a:defRPr sz="1000"/>
          </a:pPr>
          <a:endParaRPr lang="en-US" sz="1100" b="0" i="0" u="none" strike="noStrike" baseline="0">
            <a:solidFill>
              <a:srgbClr val="000000"/>
            </a:solidFill>
            <a:latin typeface="+mn-lt"/>
          </a:endParaRPr>
        </a:p>
        <a:p>
          <a:pPr algn="l" rtl="0">
            <a:defRPr sz="1000"/>
          </a:pPr>
          <a:r>
            <a:rPr lang="en-US" sz="1100" b="0" i="0" u="none" strike="noStrike" baseline="0">
              <a:solidFill>
                <a:srgbClr val="000000"/>
              </a:solidFill>
              <a:latin typeface="+mn-lt"/>
            </a:rPr>
            <a:t>CC:          	</a:t>
          </a:r>
          <a:r>
            <a:rPr lang="en-US" sz="1100" b="0" i="0" baseline="0">
              <a:solidFill>
                <a:schemeClr val="dk1"/>
              </a:solidFill>
              <a:latin typeface="+mn-lt"/>
              <a:ea typeface="+mn-ea"/>
              <a:cs typeface="+mn-cs"/>
            </a:rPr>
            <a:t> A.S.I. Staff, &amp; </a:t>
          </a:r>
          <a:r>
            <a:rPr lang="en-US" sz="1100" b="0" i="0" u="none" strike="noStrike" baseline="0">
              <a:solidFill>
                <a:srgbClr val="000000"/>
              </a:solidFill>
              <a:latin typeface="+mn-lt"/>
            </a:rPr>
            <a:t>File</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SUBJECT:     	</a:t>
          </a:r>
          <a:r>
            <a:rPr lang="en-US" sz="1100" b="0" i="0" baseline="0">
              <a:solidFill>
                <a:schemeClr val="dk1"/>
              </a:solidFill>
              <a:latin typeface="+mn-lt"/>
              <a:ea typeface="+mn-ea"/>
              <a:cs typeface="+mn-cs"/>
            </a:rPr>
            <a:t>2012-2013 A.S.I. 6&amp;6 Budget Review</a:t>
          </a:r>
          <a:endParaRPr lang="en-US" sz="1100" b="0" i="0" u="none" strike="noStrike" baseline="0">
            <a:solidFill>
              <a:srgbClr val="000000"/>
            </a:solidFill>
            <a:latin typeface="+mn-lt"/>
          </a:endParaRPr>
        </a:p>
        <a:p>
          <a:pPr algn="l" rtl="0">
            <a:defRPr sz="1000"/>
          </a:pPr>
          <a:r>
            <a:rPr lang="en-US" sz="1100" b="0" i="0" u="none" strike="noStrike" baseline="0">
              <a:solidFill>
                <a:srgbClr val="000000"/>
              </a:solidFill>
              <a:latin typeface="+mn-lt"/>
            </a:rPr>
            <a:t> </a:t>
          </a:r>
        </a:p>
        <a:p>
          <a:pPr rtl="0"/>
          <a:r>
            <a:rPr lang="en-US" sz="1100" b="0" i="0" baseline="0">
              <a:solidFill>
                <a:schemeClr val="dk1"/>
              </a:solidFill>
              <a:latin typeface="+mn-lt"/>
              <a:ea typeface="+mn-ea"/>
              <a:cs typeface="+mn-cs"/>
            </a:rPr>
            <a:t>Attached is a copy of the 2012-2013 Associated Students, Inc. 6&amp;6 Budget Review.   </a:t>
          </a:r>
          <a:endParaRPr lang="en-US" sz="1100">
            <a:solidFill>
              <a:schemeClr val="dk1"/>
            </a:solidFill>
            <a:latin typeface="+mn-lt"/>
            <a:ea typeface="+mn-ea"/>
            <a:cs typeface="+mn-cs"/>
          </a:endParaRPr>
        </a:p>
        <a:p>
          <a:pPr rtl="0" fontAlgn="base"/>
          <a:endParaRPr lang="en-US" sz="1100" b="0" i="0" baseline="0">
            <a:solidFill>
              <a:schemeClr val="dk1"/>
            </a:solidFill>
            <a:latin typeface="+mn-lt"/>
            <a:ea typeface="+mn-ea"/>
            <a:cs typeface="+mn-cs"/>
          </a:endParaRPr>
        </a:p>
        <a:p>
          <a:r>
            <a:rPr lang="en-US" sz="1100">
              <a:solidFill>
                <a:schemeClr val="dk1"/>
              </a:solidFill>
              <a:effectLst/>
              <a:latin typeface="+mn-lt"/>
              <a:ea typeface="+mn-ea"/>
              <a:cs typeface="+mn-cs"/>
            </a:rPr>
            <a:t>Please note that the recommendations in this budget have been reviewed</a:t>
          </a:r>
          <a:r>
            <a:rPr lang="en-US" sz="1100" baseline="0">
              <a:solidFill>
                <a:schemeClr val="dk1"/>
              </a:solidFill>
              <a:effectLst/>
              <a:latin typeface="+mn-lt"/>
              <a:ea typeface="+mn-ea"/>
              <a:cs typeface="+mn-cs"/>
            </a:rPr>
            <a:t> and approved </a:t>
          </a:r>
          <a:r>
            <a:rPr lang="en-US" sz="1100">
              <a:solidFill>
                <a:schemeClr val="dk1"/>
              </a:solidFill>
              <a:effectLst/>
              <a:latin typeface="+mn-lt"/>
              <a:ea typeface="+mn-ea"/>
              <a:cs typeface="+mn-cs"/>
            </a:rPr>
            <a:t>by the University Budget Office.</a:t>
          </a:r>
          <a:r>
            <a:rPr lang="en-US" sz="1100" baseline="0">
              <a:solidFill>
                <a:schemeClr val="dk1"/>
              </a:solidFill>
              <a:effectLst/>
              <a:latin typeface="+mn-lt"/>
              <a:ea typeface="+mn-ea"/>
              <a:cs typeface="+mn-cs"/>
            </a:rPr>
            <a:t>  If approved by the </a:t>
          </a:r>
          <a:r>
            <a:rPr lang="en-US" sz="1100">
              <a:solidFill>
                <a:schemeClr val="dk1"/>
              </a:solidFill>
              <a:effectLst/>
              <a:latin typeface="+mn-lt"/>
              <a:ea typeface="+mn-ea"/>
              <a:cs typeface="+mn-cs"/>
            </a:rPr>
            <a:t>Finance Committee the recommendations will be forwarded to the Board of Directors for approval on Thursday, March 14, 2013. </a:t>
          </a:r>
        </a:p>
        <a:p>
          <a:endParaRPr lang="en-US" sz="1100">
            <a:effectLst/>
            <a:latin typeface="+mn-lt"/>
          </a:endParaRPr>
        </a:p>
        <a:p>
          <a:r>
            <a:rPr lang="en-US" sz="1100">
              <a:solidFill>
                <a:schemeClr val="dk1"/>
              </a:solidFill>
              <a:effectLst/>
              <a:latin typeface="+mn-lt"/>
              <a:ea typeface="+mn-ea"/>
              <a:cs typeface="+mn-cs"/>
            </a:rPr>
            <a:t>If approved, by the B.O.D.  the budget will be sent to Dr. Anthony Ross, Vice President for Student Affairs and Mrs. Lisa Chavez, Vice President for Administration and Chief Financial Officer.  Once approved, the budget will be forwarded to the University President’s Office for final approval. </a:t>
          </a:r>
          <a:endParaRPr lang="en-US" sz="1100">
            <a:effectLst/>
            <a:latin typeface="+mn-lt"/>
          </a:endParaRPr>
        </a:p>
        <a:p>
          <a:r>
            <a:rPr lang="en-US" sz="1100">
              <a:solidFill>
                <a:schemeClr val="dk1"/>
              </a:solidFill>
              <a:effectLst/>
              <a:latin typeface="+mn-lt"/>
              <a:ea typeface="+mn-ea"/>
              <a:cs typeface="+mn-cs"/>
            </a:rPr>
            <a:t>  </a:t>
          </a:r>
          <a:endParaRPr lang="en-US" sz="1100">
            <a:effectLst/>
            <a:latin typeface="+mn-lt"/>
          </a:endParaRPr>
        </a:p>
        <a:p>
          <a:r>
            <a:rPr lang="en-US" sz="1100">
              <a:solidFill>
                <a:schemeClr val="dk1"/>
              </a:solidFill>
              <a:effectLst/>
              <a:latin typeface="+mn-lt"/>
              <a:ea typeface="+mn-ea"/>
              <a:cs typeface="+mn-cs"/>
            </a:rPr>
            <a:t>If you have any questions, please contact Intef W. Weser at 323-343-5858. </a:t>
          </a:r>
          <a:endParaRPr lang="en-US" sz="1100">
            <a:effectLst/>
            <a:latin typeface="+mn-lt"/>
          </a:endParaRP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 </a:t>
          </a:r>
        </a:p>
        <a:p>
          <a:pPr algn="l" rtl="0">
            <a:defRPr sz="1000"/>
          </a:pPr>
          <a:r>
            <a:rPr lang="en-US" sz="1100" b="0" i="0" u="none" strike="noStrike" baseline="0">
              <a:solidFill>
                <a:srgbClr val="000000"/>
              </a:solidFill>
              <a:latin typeface="+mn-lt"/>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0</xdr:row>
      <xdr:rowOff>47625</xdr:rowOff>
    </xdr:from>
    <xdr:to>
      <xdr:col>10</xdr:col>
      <xdr:colOff>542925</xdr:colOff>
      <xdr:row>60</xdr:row>
      <xdr:rowOff>114300</xdr:rowOff>
    </xdr:to>
    <xdr:pic>
      <xdr:nvPicPr>
        <xdr:cNvPr id="6153" name="Picture 1" descr="ASI Letterhead 2">
          <a:extLst>
            <a:ext uri="{FF2B5EF4-FFF2-40B4-BE49-F238E27FC236}">
              <a16:creationId xmlns:a16="http://schemas.microsoft.com/office/drawing/2014/main" id="{00000000-0008-0000-0500-000009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47625"/>
          <a:ext cx="6610350" cy="981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574523</xdr:colOff>
      <xdr:row>0</xdr:row>
      <xdr:rowOff>90714</xdr:rowOff>
    </xdr:from>
    <xdr:to>
      <xdr:col>10</xdr:col>
      <xdr:colOff>514047</xdr:colOff>
      <xdr:row>60</xdr:row>
      <xdr:rowOff>75595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793723" y="90714"/>
          <a:ext cx="4816324" cy="970038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sz="1100" b="0" i="0" u="none" strike="noStrike" baseline="0">
              <a:solidFill>
                <a:srgbClr val="000000"/>
              </a:solidFill>
              <a:latin typeface="Calibri"/>
            </a:rPr>
            <a:t> </a:t>
          </a:r>
        </a:p>
        <a:p>
          <a:pPr algn="ctr" rtl="0">
            <a:defRPr sz="1000"/>
          </a:pPr>
          <a:r>
            <a:rPr lang="en-US" sz="1100" b="1" i="0" u="none" strike="noStrike" baseline="0">
              <a:solidFill>
                <a:srgbClr val="000000"/>
              </a:solidFill>
              <a:latin typeface="Calibri"/>
            </a:rPr>
            <a:t>Memo</a:t>
          </a:r>
        </a:p>
        <a:p>
          <a:pPr algn="l" rtl="0">
            <a:defRPr sz="1000"/>
          </a:pPr>
          <a:r>
            <a:rPr lang="en-US" sz="1100" b="0" i="0" u="none" strike="noStrike" baseline="0">
              <a:solidFill>
                <a:srgbClr val="000000"/>
              </a:solidFill>
              <a:latin typeface="Calibri"/>
            </a:rPr>
            <a:t> </a:t>
          </a:r>
          <a:endParaRPr lang="en-US" sz="1100">
            <a:solidFill>
              <a:sysClr val="windowText" lastClr="000000"/>
            </a:solidFill>
            <a:latin typeface="+mn-lt"/>
            <a:ea typeface="+mn-ea"/>
            <a:cs typeface="+mn-cs"/>
          </a:endParaRPr>
        </a:p>
        <a:p>
          <a:pPr rtl="0"/>
          <a:r>
            <a:rPr lang="en-US" sz="1100" b="0" i="0" baseline="0">
              <a:solidFill>
                <a:sysClr val="windowText" lastClr="000000"/>
              </a:solidFill>
              <a:latin typeface="+mn-lt"/>
              <a:ea typeface="+mn-ea"/>
              <a:cs typeface="+mn-cs"/>
            </a:rPr>
            <a:t>DATE:     	October 31, 2012</a:t>
          </a:r>
          <a:endParaRPr lang="en-US" sz="1100">
            <a:solidFill>
              <a:sysClr val="windowText" lastClr="000000"/>
            </a:solidFill>
            <a:latin typeface="+mn-lt"/>
            <a:ea typeface="+mn-ea"/>
            <a:cs typeface="+mn-cs"/>
          </a:endParaRPr>
        </a:p>
        <a:p>
          <a:pPr rtl="0"/>
          <a:r>
            <a:rPr lang="en-US" sz="1100" b="0" i="0" baseline="0">
              <a:solidFill>
                <a:schemeClr val="dk1"/>
              </a:solidFill>
              <a:latin typeface="+mn-lt"/>
              <a:ea typeface="+mn-ea"/>
              <a:cs typeface="+mn-cs"/>
            </a:rPr>
            <a:t> </a:t>
          </a:r>
          <a:endParaRPr lang="en-US" sz="1100">
            <a:solidFill>
              <a:schemeClr val="dk1"/>
            </a:solidFill>
            <a:latin typeface="+mn-lt"/>
            <a:ea typeface="+mn-ea"/>
            <a:cs typeface="+mn-cs"/>
          </a:endParaRPr>
        </a:p>
        <a:p>
          <a:pPr rtl="0"/>
          <a:r>
            <a:rPr lang="en-US" sz="1100" b="0" i="0" baseline="0">
              <a:solidFill>
                <a:schemeClr val="dk1"/>
              </a:solidFill>
              <a:latin typeface="+mn-lt"/>
              <a:ea typeface="+mn-ea"/>
              <a:cs typeface="+mn-cs"/>
            </a:rPr>
            <a:t>TO:         	A.S.I. Finance Committee</a:t>
          </a:r>
          <a:endParaRPr lang="en-US" sz="1100">
            <a:solidFill>
              <a:schemeClr val="dk1"/>
            </a:solidFill>
            <a:latin typeface="+mn-lt"/>
            <a:ea typeface="+mn-ea"/>
            <a:cs typeface="+mn-cs"/>
          </a:endParaRPr>
        </a:p>
        <a:p>
          <a:pPr rtl="0"/>
          <a:r>
            <a:rPr lang="en-US" sz="1100" b="0" i="0" baseline="0">
              <a:solidFill>
                <a:schemeClr val="dk1"/>
              </a:solidFill>
              <a:latin typeface="+mn-lt"/>
              <a:ea typeface="+mn-ea"/>
              <a:cs typeface="+mn-cs"/>
            </a:rPr>
            <a:t> </a:t>
          </a:r>
          <a:endParaRPr lang="en-US" sz="1100">
            <a:solidFill>
              <a:schemeClr val="dk1"/>
            </a:solidFill>
            <a:latin typeface="+mn-lt"/>
            <a:ea typeface="+mn-ea"/>
            <a:cs typeface="+mn-cs"/>
          </a:endParaRPr>
        </a:p>
        <a:p>
          <a:pPr rtl="0"/>
          <a:r>
            <a:rPr lang="en-US" sz="1100" b="0" i="0" baseline="0">
              <a:solidFill>
                <a:schemeClr val="dk1"/>
              </a:solidFill>
              <a:latin typeface="+mn-lt"/>
              <a:ea typeface="+mn-ea"/>
              <a:cs typeface="+mn-cs"/>
            </a:rPr>
            <a:t>FROM:   	A.S.I. Executive Director</a:t>
          </a:r>
        </a:p>
        <a:p>
          <a:pPr rtl="0"/>
          <a:r>
            <a:rPr lang="en-US" sz="1100" b="0" i="0" baseline="0">
              <a:solidFill>
                <a:schemeClr val="dk1"/>
              </a:solidFill>
              <a:latin typeface="+mn-lt"/>
              <a:ea typeface="+mn-ea"/>
              <a:cs typeface="+mn-cs"/>
            </a:rPr>
            <a:t>	A.S.I. Vice President for Finance</a:t>
          </a:r>
        </a:p>
        <a:p>
          <a:pPr rtl="0"/>
          <a:r>
            <a:rPr lang="en-US" sz="1100" b="0" i="0" baseline="0">
              <a:solidFill>
                <a:schemeClr val="dk1"/>
              </a:solidFill>
              <a:latin typeface="+mn-lt"/>
              <a:ea typeface="+mn-ea"/>
              <a:cs typeface="+mn-cs"/>
            </a:rPr>
            <a:t>	A.S.I. President</a:t>
          </a:r>
          <a:endParaRPr lang="en-US" sz="1100">
            <a:solidFill>
              <a:schemeClr val="dk1"/>
            </a:solidFill>
            <a:latin typeface="+mn-lt"/>
            <a:ea typeface="+mn-ea"/>
            <a:cs typeface="+mn-cs"/>
          </a:endParaRPr>
        </a:p>
        <a:p>
          <a:pPr rtl="0" fontAlgn="base"/>
          <a:endParaRPr lang="en-US" sz="1100" b="0" i="0" baseline="0">
            <a:solidFill>
              <a:schemeClr val="dk1"/>
            </a:solidFill>
            <a:latin typeface="+mn-lt"/>
            <a:ea typeface="+mn-ea"/>
            <a:cs typeface="+mn-cs"/>
          </a:endParaRPr>
        </a:p>
        <a:p>
          <a:pPr rtl="0"/>
          <a:r>
            <a:rPr lang="en-US" sz="1100" b="0" i="0" baseline="0">
              <a:solidFill>
                <a:schemeClr val="dk1"/>
              </a:solidFill>
              <a:latin typeface="+mn-lt"/>
              <a:ea typeface="+mn-ea"/>
              <a:cs typeface="+mn-cs"/>
            </a:rPr>
            <a:t>CC:          	File</a:t>
          </a:r>
          <a:endParaRPr lang="en-US" sz="1100">
            <a:solidFill>
              <a:schemeClr val="dk1"/>
            </a:solidFill>
            <a:latin typeface="+mn-lt"/>
            <a:ea typeface="+mn-ea"/>
            <a:cs typeface="+mn-cs"/>
          </a:endParaRPr>
        </a:p>
        <a:p>
          <a:pPr rtl="0"/>
          <a:r>
            <a:rPr lang="en-US" sz="1100" b="0" i="0" baseline="0">
              <a:solidFill>
                <a:schemeClr val="dk1"/>
              </a:solidFill>
              <a:latin typeface="+mn-lt"/>
              <a:ea typeface="+mn-ea"/>
              <a:cs typeface="+mn-cs"/>
            </a:rPr>
            <a:t> </a:t>
          </a:r>
          <a:endParaRPr lang="en-US" sz="1100">
            <a:solidFill>
              <a:schemeClr val="dk1"/>
            </a:solidFill>
            <a:latin typeface="+mn-lt"/>
            <a:ea typeface="+mn-ea"/>
            <a:cs typeface="+mn-cs"/>
          </a:endParaRPr>
        </a:p>
        <a:p>
          <a:pPr rtl="0"/>
          <a:r>
            <a:rPr lang="en-US" sz="1100" b="0" i="0" baseline="0">
              <a:solidFill>
                <a:schemeClr val="dk1"/>
              </a:solidFill>
              <a:latin typeface="+mn-lt"/>
              <a:ea typeface="+mn-ea"/>
              <a:cs typeface="+mn-cs"/>
            </a:rPr>
            <a:t>SUBJECT:     	2012-2013 A.S.I. Proposed 3&amp;9 Budget Review	</a:t>
          </a:r>
          <a:endParaRPr lang="en-US" sz="1100">
            <a:solidFill>
              <a:schemeClr val="dk1"/>
            </a:solidFill>
            <a:latin typeface="+mn-lt"/>
            <a:ea typeface="+mn-ea"/>
            <a:cs typeface="+mn-cs"/>
          </a:endParaRPr>
        </a:p>
        <a:p>
          <a:pPr rtl="0"/>
          <a:r>
            <a:rPr lang="en-US" sz="1100" b="0" i="0" baseline="0">
              <a:solidFill>
                <a:schemeClr val="dk1"/>
              </a:solidFill>
              <a:latin typeface="+mn-lt"/>
              <a:ea typeface="+mn-ea"/>
              <a:cs typeface="+mn-cs"/>
            </a:rPr>
            <a:t> </a:t>
          </a:r>
          <a:endParaRPr lang="en-US" sz="1100">
            <a:solidFill>
              <a:schemeClr val="dk1"/>
            </a:solidFill>
            <a:latin typeface="+mn-lt"/>
            <a:ea typeface="+mn-ea"/>
            <a:cs typeface="+mn-cs"/>
          </a:endParaRPr>
        </a:p>
        <a:p>
          <a:pPr rtl="0"/>
          <a:r>
            <a:rPr lang="en-US" sz="1100" b="0" i="0" baseline="0">
              <a:solidFill>
                <a:schemeClr val="dk1"/>
              </a:solidFill>
              <a:latin typeface="+mn-lt"/>
              <a:ea typeface="+mn-ea"/>
              <a:cs typeface="+mn-cs"/>
            </a:rPr>
            <a:t>Attached is a copy of the 2012-2013 Associated Students, Inc. Proposed 3&amp;9  Budget Review.   </a:t>
          </a:r>
        </a:p>
        <a:p>
          <a:pPr rtl="0"/>
          <a:endParaRPr lang="en-US" sz="1100" baseline="0">
            <a:solidFill>
              <a:schemeClr val="dk1"/>
            </a:solidFill>
            <a:latin typeface="+mn-lt"/>
            <a:ea typeface="+mn-ea"/>
            <a:cs typeface="+mn-cs"/>
          </a:endParaRPr>
        </a:p>
        <a:p>
          <a:pPr rtl="0" eaLnBrk="1" fontAlgn="base" latinLnBrk="0" hangingPunct="1"/>
          <a:r>
            <a:rPr lang="en-US" sz="1100" baseline="0">
              <a:solidFill>
                <a:schemeClr val="dk1"/>
              </a:solidFill>
              <a:latin typeface="+mn-lt"/>
              <a:ea typeface="+mn-ea"/>
              <a:cs typeface="+mn-cs"/>
            </a:rPr>
            <a:t>This budget is still being reviewed by the University Budget Office.  If they make any recommended changes the committee will be informed.</a:t>
          </a:r>
        </a:p>
        <a:p>
          <a:pPr rtl="0" eaLnBrk="1" fontAlgn="base" latinLnBrk="0" hangingPunct="1"/>
          <a:endParaRPr lang="en-US" sz="1100" baseline="0">
            <a:solidFill>
              <a:schemeClr val="dk1"/>
            </a:solidFill>
            <a:latin typeface="+mn-lt"/>
            <a:ea typeface="+mn-ea"/>
            <a:cs typeface="+mn-cs"/>
          </a:endParaRPr>
        </a:p>
        <a:p>
          <a:pPr rtl="0" eaLnBrk="1" fontAlgn="base" latinLnBrk="0" hangingPunct="1"/>
          <a:r>
            <a:rPr lang="en-US" sz="1100" baseline="0">
              <a:solidFill>
                <a:schemeClr val="dk1"/>
              </a:solidFill>
              <a:latin typeface="+mn-lt"/>
              <a:ea typeface="+mn-ea"/>
              <a:cs typeface="+mn-cs"/>
            </a:rPr>
            <a:t>If approved by the </a:t>
          </a:r>
          <a:r>
            <a:rPr lang="en-US" sz="1100">
              <a:solidFill>
                <a:schemeClr val="dk1"/>
              </a:solidFill>
              <a:latin typeface="+mn-lt"/>
              <a:ea typeface="+mn-ea"/>
              <a:cs typeface="+mn-cs"/>
            </a:rPr>
            <a:t>Finance Committee the recommendations will be forwarded to the Board of Directors for approval </a:t>
          </a:r>
          <a:r>
            <a:rPr lang="en-US" sz="1100">
              <a:solidFill>
                <a:schemeClr val="tx1"/>
              </a:solidFill>
              <a:latin typeface="+mn-lt"/>
              <a:ea typeface="+mn-ea"/>
              <a:cs typeface="+mn-cs"/>
            </a:rPr>
            <a:t>on Thursday, November 9, 2012. </a:t>
          </a:r>
          <a:endParaRPr lang="en-US">
            <a:solidFill>
              <a:schemeClr val="tx1"/>
            </a:solidFill>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If approved, by the B.O.D.  the budget will be sent to Dr. Anthony Ross, Vice President for Student Affairs and Mrs. Lisa Chavez, Vice President for Administration and Chief Financial Officer.  </a:t>
          </a:r>
        </a:p>
        <a:p>
          <a:endParaRPr lang="en-US" sz="1100">
            <a:solidFill>
              <a:schemeClr val="dk1"/>
            </a:solidFill>
            <a:latin typeface="+mn-lt"/>
            <a:ea typeface="+mn-ea"/>
            <a:cs typeface="+mn-cs"/>
          </a:endParaRPr>
        </a:p>
        <a:p>
          <a:r>
            <a:rPr lang="en-US" sz="1100">
              <a:solidFill>
                <a:schemeClr val="dk1"/>
              </a:solidFill>
              <a:latin typeface="+mn-lt"/>
              <a:ea typeface="+mn-ea"/>
              <a:cs typeface="+mn-cs"/>
            </a:rPr>
            <a:t>Once approved, the budget will be forwarded to the University President’s Office for final approval. </a:t>
          </a:r>
          <a:endParaRPr lang="en-US"/>
        </a:p>
        <a:p>
          <a:r>
            <a:rPr lang="en-US" sz="1100">
              <a:solidFill>
                <a:schemeClr val="dk1"/>
              </a:solidFill>
              <a:latin typeface="+mn-lt"/>
              <a:ea typeface="+mn-ea"/>
              <a:cs typeface="+mn-cs"/>
            </a:rPr>
            <a:t>  </a:t>
          </a:r>
          <a:endParaRPr lang="en-US"/>
        </a:p>
        <a:p>
          <a:r>
            <a:rPr lang="en-US" sz="1100">
              <a:solidFill>
                <a:schemeClr val="dk1"/>
              </a:solidFill>
              <a:latin typeface="+mn-lt"/>
              <a:ea typeface="+mn-ea"/>
              <a:cs typeface="+mn-cs"/>
            </a:rPr>
            <a:t>If you have any questions, please contact Intef W. Weser at 3-5858. </a:t>
          </a:r>
          <a:endParaRPr lang="en-US"/>
        </a:p>
        <a:p>
          <a:pPr rtl="0"/>
          <a:endParaRPr lang="en-US" sz="1100">
            <a:solidFill>
              <a:schemeClr val="dk1"/>
            </a:solidFill>
            <a:latin typeface="+mn-lt"/>
            <a:ea typeface="+mn-ea"/>
            <a:cs typeface="+mn-cs"/>
          </a:endParaRPr>
        </a:p>
        <a:p>
          <a:pPr rtl="0"/>
          <a:r>
            <a:rPr lang="en-US" sz="1100" b="0" i="0" baseline="0">
              <a:solidFill>
                <a:schemeClr val="dk1"/>
              </a:solidFill>
              <a:latin typeface="+mn-lt"/>
              <a:ea typeface="+mn-ea"/>
              <a:cs typeface="+mn-cs"/>
            </a:rPr>
            <a:t> </a:t>
          </a:r>
          <a:endParaRPr lang="en-US" sz="1100" b="0" i="0" u="none" strike="noStrike" baseline="0">
            <a:solidFill>
              <a:srgbClr val="000000"/>
            </a:solidFill>
            <a:latin typeface="Calibri"/>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762000</xdr:colOff>
      <xdr:row>6</xdr:row>
      <xdr:rowOff>180975</xdr:rowOff>
    </xdr:from>
    <xdr:to>
      <xdr:col>6</xdr:col>
      <xdr:colOff>4105275</xdr:colOff>
      <xdr:row>12</xdr:row>
      <xdr:rowOff>133350</xdr:rowOff>
    </xdr:to>
    <xdr:pic>
      <xdr:nvPicPr>
        <xdr:cNvPr id="7173" name="Picture 261" descr="ASI logo">
          <a:extLst>
            <a:ext uri="{FF2B5EF4-FFF2-40B4-BE49-F238E27FC236}">
              <a16:creationId xmlns:a16="http://schemas.microsoft.com/office/drawing/2014/main" id="{00000000-0008-0000-0600-000005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1476375"/>
          <a:ext cx="334327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0-11%209&amp;3%20Budget/2010-11%20ASI%209&amp;3%20Budget%20Revi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iweser/Local%20Settings/Temporary%20Internet%20Files/Content.Outlook/0CSJ1621/Student%20Gov.%203&amp;9%20Budget%20%202011-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iweser\AppData\Local\Temp\ASI_FS_February2017.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Budget\2015-16%20Proposed%20Operating%20Budget\2016-17%20Proposed%20Budget\1.17.17%206%20and%206%20Budget\2017-18%20Proposed%20Budget\2017-18%20Budget\Student%20Gov.%20%202017-18%20Proposed%20Operating%20Budget%20%204.28.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pdated%202011-12%20Proposed%20Operating%20Budget/Detail%20for%202011/ASI_FS_2011%2006%20part%202%20071320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pdated%202011-12%20Proposed%20Operating%20Budget/ASI_FS_2011.06%20w%209&amp;3%20budget%20REVISED%202011.07.2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addyTef's%20Stuff/ASI%20Stuff/ASI%20Master%20Folder%202007/ASI%20Foundation/Budget%20Folder/2010-11%20Budget%20Folder/2010-11%20Approved%20Budget%20Folder/2010-11%209&amp;3%20Budget/2010-11%20ASI%209&amp;3%20Budget%20Revi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addyTef's%20Stuff/ASI%20Stuff/ASI%20Master%20Folder%202007/ASI%20Foundation/Budget%20Folder/2010-11%20Budget%20Folder/2010-11%20Approved%20Budget%20Folder/2011-12%20Budget/SSC%20Working%20Budget%20%202011-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013-14%20Budget%20Items/2013-14%203&amp;9%20Budget%20Review/2013-14%20ASI%203&amp;9%20Budget%20Review%2012.17.13%20FINAL%20Upd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santos/Local%20Settings/Temporary%20Internet%20Files/OLKA6/Budget%2008-09%20Ground%20Zer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iweser/Local%20Settings/Temporary%20Internet%20Files/Content.Outlook/8G1W9HSO/2012%20Items/Detail%202012-13/Copy%20of%20ASI_FS_2012%2006%20w%2093%20budget%20REVISED%202012%2008%20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3-14%20Budget%20Items/2013-14%203&amp;9%20Budget%20Review/2013-14%20ASI%203&amp;9%20Budget%20Review%2011.15.13%20UPD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3-14%20Budget%20Items/2013-14%203&amp;9%20Budget%20Review/2013-14%20ASI%203&amp;9%20Budget%20Review%207.1.1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udget%20Folder%202014-15/2013-14%20Budget%20Items/2014-15%20Proposed%20Operating%20Budget/2014-15%203&amp;9%20Budget%20Review/2014-15%203&amp;9%20Budget%20Review.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SI_FS_June2017-revised%207.26.17%20(0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7-18%20Proposed%20Operating%20Budget%204.2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13-14%20Budget%20Items/2013-14%206&amp;6%20Budget%20Review/2013-14%20ASI%206&amp;6%20Budget%20Review%202.11.14%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I. Memo to Adm"/>
      <sheetName val="A.S.I. Memo to BOD"/>
      <sheetName val="9&amp;3 A.S.I. Memo to Fin"/>
      <sheetName val="3&amp;9 Memo to BOD"/>
      <sheetName val="A.S.I. Memo to Fin Committee"/>
      <sheetName val="Cover Sheet"/>
      <sheetName val="Updated Student Fees"/>
      <sheetName val="Student Fees"/>
      <sheetName val="Revenue &amp; Investments"/>
      <sheetName val="Administration"/>
      <sheetName val="Student Government"/>
      <sheetName val="Student Service Center"/>
      <sheetName val="Programming"/>
    </sheetNames>
    <sheetDataSet>
      <sheetData sheetId="0"/>
      <sheetData sheetId="1"/>
      <sheetData sheetId="2"/>
      <sheetData sheetId="3"/>
      <sheetData sheetId="4"/>
      <sheetData sheetId="5"/>
      <sheetData sheetId="6"/>
      <sheetData sheetId="7"/>
      <sheetData sheetId="8">
        <row r="6">
          <cell r="F6">
            <v>62449</v>
          </cell>
        </row>
        <row r="7">
          <cell r="F7">
            <v>367947</v>
          </cell>
        </row>
        <row r="8">
          <cell r="F8">
            <v>326798.03000000003</v>
          </cell>
        </row>
        <row r="9">
          <cell r="F9">
            <v>324291</v>
          </cell>
        </row>
      </sheetData>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ent Gov Cover"/>
      <sheetName val="FT Staff Salary 10-11"/>
      <sheetName val="Stu Asst 11-12"/>
      <sheetName val="Benefits 11-12"/>
      <sheetName val="Technology"/>
      <sheetName val="Advertisement"/>
      <sheetName val="Operating Expense"/>
      <sheetName val="CSSA Dues"/>
      <sheetName val="9&amp;3 CSSA Travel"/>
      <sheetName val="travel"/>
      <sheetName val="CSSA Travel"/>
      <sheetName val="FT Staff Travel"/>
      <sheetName val="ASI President's Budget"/>
      <sheetName val="Hospitality"/>
      <sheetName val="SLA Dinner Inauguration"/>
      <sheetName val="New GIA"/>
      <sheetName val="Grantinaid"/>
      <sheetName val="Student Salary Calculation"/>
      <sheetName val="GIA Calculator"/>
    </sheetNames>
    <sheetDataSet>
      <sheetData sheetId="0" refreshError="1"/>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row r="28">
          <cell r="I28">
            <v>0</v>
          </cell>
        </row>
      </sheetData>
      <sheetData sheetId="15"/>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SUMMARY"/>
      <sheetName val="REV&amp;EXP"/>
      <sheetName val="102804.pdf"/>
      <sheetName val="103007"/>
      <sheetName val="102804"/>
      <sheetName val="103008"/>
      <sheetName val="107000"/>
      <sheetName val="190090"/>
      <sheetName val="107090"/>
      <sheetName val="Fixed assets"/>
      <sheetName val="FIxed Assets.pdf"/>
      <sheetName val="201001"/>
      <sheetName val="201008"/>
      <sheetName val="201805"/>
      <sheetName val="201920"/>
      <sheetName val="201921"/>
      <sheetName val="201926"/>
      <sheetName val="201927"/>
      <sheetName val="202000"/>
      <sheetName val="208001"/>
      <sheetName val="250860"/>
      <sheetName val="250941"/>
      <sheetName val="250942"/>
      <sheetName val="250943"/>
      <sheetName val="250944"/>
      <sheetName val="250945"/>
      <sheetName val="250949"/>
      <sheetName val="261003"/>
      <sheetName val="263090"/>
      <sheetName val="508000"/>
      <sheetName val="508002"/>
      <sheetName val="510901"/>
      <sheetName val="580840"/>
      <sheetName val="580901"/>
      <sheetName val="Stateside account"/>
      <sheetName val="Trial Balance"/>
      <sheetName val="Actuals"/>
      <sheetName val="Detail"/>
      <sheetName val="203004"/>
      <sheetName val="201807"/>
      <sheetName val="250948"/>
      <sheetName val="201902"/>
      <sheetName val="250001"/>
      <sheetName val="250950"/>
    </sheetNames>
    <sheetDataSet>
      <sheetData sheetId="0"/>
      <sheetData sheetId="1"/>
      <sheetData sheetId="2">
        <row r="9">
          <cell r="G9">
            <v>28896.02</v>
          </cell>
        </row>
        <row r="83">
          <cell r="G83">
            <v>39282.49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ent Gov Cover"/>
      <sheetName val="Technology"/>
      <sheetName val="Advertisement"/>
      <sheetName val="Operating Expense"/>
      <sheetName val="New DUES   SUBS   PUBLICATIONS"/>
      <sheetName val="New CSSA Travel"/>
      <sheetName val="FT Staff Travel"/>
      <sheetName val="ASI President's Budget"/>
      <sheetName val="LeadershipDevelopment"/>
      <sheetName val="New GIA"/>
      <sheetName val="Actual GIA Total"/>
      <sheetName val="GIA Calculator"/>
    </sheetNames>
    <sheetDataSet>
      <sheetData sheetId="0"/>
      <sheetData sheetId="1"/>
      <sheetData sheetId="2"/>
      <sheetData sheetId="3"/>
      <sheetData sheetId="4"/>
      <sheetData sheetId="5"/>
      <sheetData sheetId="6"/>
      <sheetData sheetId="7"/>
      <sheetData sheetId="8">
        <row r="91">
          <cell r="I91">
            <v>40872.01</v>
          </cell>
        </row>
      </sheetData>
      <sheetData sheetId="9"/>
      <sheetData sheetId="10"/>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29"/>
      <sheetName val="period 0"/>
      <sheetName val="BS"/>
      <sheetName val="SUMMARY"/>
      <sheetName val="REV&amp;EXP"/>
      <sheetName val="102940"/>
      <sheetName val="103008"/>
      <sheetName val="103970"/>
      <sheetName val="ar"/>
      <sheetName val="104007"/>
      <sheetName val="107000"/>
      <sheetName val="107090"/>
      <sheetName val="107992"/>
      <sheetName val="Fixed assets"/>
      <sheetName val="201001"/>
      <sheetName val="201008"/>
      <sheetName val="201901"/>
      <sheetName val="202000"/>
      <sheetName val="203004"/>
      <sheetName val="208901"/>
      <sheetName val="250009"/>
      <sheetName val="250941"/>
      <sheetName val="250942"/>
      <sheetName val="250944"/>
      <sheetName val="250945"/>
      <sheetName val="250948"/>
      <sheetName val="263996"/>
      <sheetName val="261003"/>
      <sheetName val="508000"/>
      <sheetName val="508002"/>
      <sheetName val="TRIAL BAL"/>
      <sheetName val="PV Table"/>
      <sheetName val="ACTUALS QUERY"/>
      <sheetName val="Detail Query"/>
      <sheetName val="exp detail by dept"/>
      <sheetName val="revenue detail by dept"/>
      <sheetName val="ytd detail jul-may match gl"/>
    </sheetNames>
    <sheetDataSet>
      <sheetData sheetId="0"/>
      <sheetData sheetId="1"/>
      <sheetData sheetId="2"/>
      <sheetData sheetId="3"/>
      <sheetData sheetId="4">
        <row r="57">
          <cell r="H57">
            <v>-7698.83</v>
          </cell>
        </row>
        <row r="58">
          <cell r="H58">
            <v>2600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29"/>
      <sheetName val="period 0"/>
      <sheetName val="BS"/>
      <sheetName val="SUMMARY"/>
      <sheetName val="REV&amp;EXP"/>
      <sheetName val="102940"/>
      <sheetName val="103008"/>
      <sheetName val="103970"/>
      <sheetName val="ar"/>
      <sheetName val="104007"/>
      <sheetName val="107000"/>
      <sheetName val="107090"/>
      <sheetName val="107992"/>
      <sheetName val="Fixed assets"/>
      <sheetName val="201001"/>
      <sheetName val="201008"/>
      <sheetName val="201901"/>
      <sheetName val="202000"/>
      <sheetName val="203004"/>
      <sheetName val="208901"/>
      <sheetName val="250009"/>
      <sheetName val="250941"/>
      <sheetName val="250942"/>
      <sheetName val="250944"/>
      <sheetName val="250945"/>
      <sheetName val="250948"/>
      <sheetName val="263996"/>
      <sheetName val="261003"/>
      <sheetName val="508000"/>
      <sheetName val="508002"/>
      <sheetName val="TRIAL BAL"/>
      <sheetName val="PV Table"/>
      <sheetName val="ACTUALS QUERY"/>
      <sheetName val="Detail Query"/>
      <sheetName val="exp detail by dept"/>
      <sheetName val="revenue detail by dept"/>
      <sheetName val="ytd detail jul-june match gl"/>
    </sheetNames>
    <sheetDataSet>
      <sheetData sheetId="0"/>
      <sheetData sheetId="1"/>
      <sheetData sheetId="2"/>
      <sheetData sheetId="3"/>
      <sheetData sheetId="4">
        <row r="52">
          <cell r="H52">
            <v>2316</v>
          </cell>
        </row>
        <row r="53">
          <cell r="H53">
            <v>1201</v>
          </cell>
        </row>
        <row r="54">
          <cell r="H54">
            <v>346.98</v>
          </cell>
        </row>
        <row r="55">
          <cell r="H55">
            <v>1462.27</v>
          </cell>
        </row>
        <row r="56">
          <cell r="H56">
            <v>2001</v>
          </cell>
        </row>
        <row r="57">
          <cell r="H57">
            <v>-7698.83</v>
          </cell>
        </row>
        <row r="58">
          <cell r="H58">
            <v>2600</v>
          </cell>
        </row>
        <row r="59">
          <cell r="H59">
            <v>2139.4299999999998</v>
          </cell>
        </row>
        <row r="65">
          <cell r="H65">
            <v>271.04000000000002</v>
          </cell>
        </row>
        <row r="66">
          <cell r="H66">
            <v>12841.37</v>
          </cell>
        </row>
        <row r="67">
          <cell r="H67">
            <v>6503.54</v>
          </cell>
        </row>
        <row r="68">
          <cell r="H68">
            <v>7423.07</v>
          </cell>
        </row>
        <row r="69">
          <cell r="H69">
            <v>49537.65</v>
          </cell>
        </row>
        <row r="70">
          <cell r="H70">
            <v>22174.99</v>
          </cell>
        </row>
        <row r="71">
          <cell r="H71">
            <v>32302.14</v>
          </cell>
        </row>
        <row r="72">
          <cell r="H72">
            <v>0</v>
          </cell>
        </row>
        <row r="73">
          <cell r="A73" t="str">
            <v>Gift &amp; Contributions</v>
          </cell>
          <cell r="H73">
            <v>30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I. Memo to Adm"/>
      <sheetName val="A.S.I. Memo to BOD"/>
      <sheetName val="9&amp;3 A.S.I. Memo to Fin"/>
      <sheetName val="3&amp;9 Memo to BOD"/>
      <sheetName val="A.S.I. Memo to Fin Committee"/>
      <sheetName val="Cover Sheet"/>
      <sheetName val="Updated Student Fees"/>
      <sheetName val="Student Fees"/>
      <sheetName val="Revenue &amp; Investments"/>
      <sheetName val="Administration"/>
      <sheetName val="Student Government"/>
      <sheetName val="Student Service Center"/>
      <sheetName val="Programm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6">
          <cell r="F6">
            <v>2500</v>
          </cell>
        </row>
        <row r="7">
          <cell r="F7">
            <v>-9554</v>
          </cell>
        </row>
        <row r="8">
          <cell r="F8">
            <v>4500</v>
          </cell>
        </row>
        <row r="9">
          <cell r="F9">
            <v>1250</v>
          </cell>
        </row>
        <row r="10">
          <cell r="F10">
            <v>1250</v>
          </cell>
        </row>
        <row r="11">
          <cell r="F11">
            <v>1000</v>
          </cell>
        </row>
        <row r="12">
          <cell r="F12">
            <v>2000</v>
          </cell>
        </row>
        <row r="13">
          <cell r="F13">
            <v>1000</v>
          </cell>
        </row>
        <row r="18">
          <cell r="F18">
            <v>46144.800000000003</v>
          </cell>
        </row>
        <row r="19">
          <cell r="F19">
            <v>25123.215960000001</v>
          </cell>
        </row>
        <row r="20">
          <cell r="F20">
            <v>32750</v>
          </cell>
        </row>
        <row r="24">
          <cell r="F24">
            <v>11600</v>
          </cell>
        </row>
        <row r="25">
          <cell r="F25">
            <v>11278.890000000001</v>
          </cell>
        </row>
        <row r="26">
          <cell r="F26">
            <v>9538</v>
          </cell>
        </row>
        <row r="27">
          <cell r="F27">
            <v>0</v>
          </cell>
        </row>
        <row r="28">
          <cell r="F28">
            <v>0</v>
          </cell>
        </row>
      </sheetData>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ent Service Center Cover"/>
      <sheetName val="Revenue"/>
      <sheetName val="FT Staff Salary 10-11"/>
      <sheetName val="Benefits 10-11"/>
      <sheetName val="Stu Asst 10-11"/>
      <sheetName val="Sheet1"/>
      <sheetName val="Donations"/>
      <sheetName val="Advertisement"/>
      <sheetName val="Technology"/>
      <sheetName val="Operating Expense"/>
      <sheetName val="Staff Travel"/>
    </sheetNames>
    <sheetDataSet>
      <sheetData sheetId="0" refreshError="1"/>
      <sheetData sheetId="1" refreshError="1">
        <row r="18">
          <cell r="I18">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nature Page"/>
      <sheetName val="Memo to VPSA"/>
      <sheetName val="Update Memo to BOD"/>
      <sheetName val="3&amp;9 Memo to BOD"/>
      <sheetName val="Draft of 6&amp;6"/>
      <sheetName val="A.S.I. Memo to FC6&amp;6"/>
      <sheetName val="A.S.I. Memo to Fin"/>
      <sheetName val="Cover Sheet"/>
      <sheetName val="Student Fees"/>
      <sheetName val="Sheet2"/>
      <sheetName val="Trailer Fund Recommendations"/>
      <sheetName val="REVISED ASI TR Analysis 13-14"/>
      <sheetName val="Revenue &amp; Investments"/>
      <sheetName val="Administration"/>
      <sheetName val="Student Government"/>
      <sheetName val="Student Service Center"/>
      <sheetName val="Student &amp; University Support"/>
      <sheetName val="2013-14 Student Rev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D2" t="str">
            <v>YTD 2013-14</v>
          </cell>
        </row>
        <row r="6">
          <cell r="D6">
            <v>0</v>
          </cell>
        </row>
        <row r="16">
          <cell r="B16" t="str">
            <v>Transfer from Retained Earnings</v>
          </cell>
        </row>
      </sheetData>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Student Fees"/>
      <sheetName val="Four Year Projection"/>
      <sheetName val="Revenue and Investments"/>
      <sheetName val="Administration"/>
      <sheetName val="Student Government"/>
      <sheetName val="Service Center"/>
      <sheetName val="University Support"/>
    </sheetNames>
    <sheetDataSet>
      <sheetData sheetId="0" refreshError="1"/>
      <sheetData sheetId="1" refreshError="1"/>
      <sheetData sheetId="2" refreshError="1">
        <row r="28">
          <cell r="A28" t="str">
            <v>Administration</v>
          </cell>
        </row>
        <row r="29">
          <cell r="A29" t="str">
            <v>ASI Student Government</v>
          </cell>
        </row>
        <row r="30">
          <cell r="A30" t="str">
            <v>Student Service Center</v>
          </cell>
        </row>
      </sheetData>
      <sheetData sheetId="3" refreshError="1"/>
      <sheetData sheetId="4" refreshError="1"/>
      <sheetData sheetId="5" refreshError="1">
        <row r="3">
          <cell r="T3" t="str">
            <v>Comment/Variance Explanation</v>
          </cell>
        </row>
      </sheetData>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SUMMARY"/>
      <sheetName val="REV&amp;EXP"/>
      <sheetName val="102804"/>
      <sheetName val="103007"/>
      <sheetName val="103008"/>
      <sheetName val="107090"/>
      <sheetName val="Fixed assets"/>
      <sheetName val="201001"/>
      <sheetName val="201008"/>
      <sheetName val="201803"/>
      <sheetName val="208001"/>
      <sheetName val="250860"/>
      <sheetName val="250941"/>
      <sheetName val="250942"/>
      <sheetName val="250944"/>
      <sheetName val="250945"/>
      <sheetName val="250948"/>
      <sheetName val="261003"/>
      <sheetName val="263090"/>
      <sheetName val="508000"/>
      <sheetName val="508002"/>
      <sheetName val="TRIAL BAL"/>
      <sheetName val="ACTUALS QUERY"/>
      <sheetName val="Detail Query"/>
      <sheetName val="Period 0"/>
    </sheetNames>
    <sheetDataSet>
      <sheetData sheetId="0" refreshError="1"/>
      <sheetData sheetId="1" refreshError="1"/>
      <sheetData sheetId="2" refreshError="1">
        <row r="9">
          <cell r="H9">
            <v>23547.98</v>
          </cell>
        </row>
        <row r="44">
          <cell r="H44">
            <v>1157286.32</v>
          </cell>
        </row>
        <row r="81">
          <cell r="H81">
            <v>3152.54</v>
          </cell>
        </row>
        <row r="82">
          <cell r="H82">
            <v>3892.42</v>
          </cell>
        </row>
        <row r="89">
          <cell r="I89">
            <v>8618.11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nature Page"/>
      <sheetName val="Memo to VPSA"/>
      <sheetName val="Update Memo to BOD"/>
      <sheetName val="3&amp;9 Memo to BOD"/>
      <sheetName val="Draft of 6&amp;6"/>
      <sheetName val="A.S.I. Memo to FC6&amp;6"/>
      <sheetName val="A.S.I. Memo to Fin"/>
      <sheetName val="Cover Sheet"/>
      <sheetName val="Student Fees"/>
      <sheetName val="Sheet2"/>
      <sheetName val="Revenue &amp; Investments"/>
      <sheetName val="Administration"/>
      <sheetName val="Student Government"/>
      <sheetName val="Student Service Center"/>
      <sheetName val="Student &amp; University Support"/>
      <sheetName val="2013-14 Student Rev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1">
          <cell r="G11">
            <v>1295941.0209999999</v>
          </cell>
        </row>
      </sheetData>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nature Page"/>
      <sheetName val="Memo to VPSA"/>
      <sheetName val="Update Memo to BOD"/>
      <sheetName val="3&amp;9 Memo to BOD"/>
      <sheetName val="Draft of 6&amp;6"/>
      <sheetName val="A.S.I. Memo to FC6&amp;6"/>
      <sheetName val="A.S.I. Memo to Fin"/>
      <sheetName val="Cover Sheet"/>
      <sheetName val="Student Fees"/>
      <sheetName val="Sheet2"/>
      <sheetName val="Revenue &amp; Investments"/>
      <sheetName val="Administration"/>
      <sheetName val="Student Government"/>
      <sheetName val="Student Service Center"/>
      <sheetName val="Student &amp; University Support"/>
      <sheetName val="2013-14 Student Rev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1">
          <cell r="G11">
            <v>1150093</v>
          </cell>
        </row>
        <row r="14">
          <cell r="G14">
            <v>5000</v>
          </cell>
        </row>
      </sheetData>
      <sheetData sheetId="11" refreshError="1">
        <row r="2">
          <cell r="C2" t="str">
            <v>2012/2013</v>
          </cell>
        </row>
        <row r="43">
          <cell r="C43">
            <v>0</v>
          </cell>
        </row>
      </sheetData>
      <sheetData sheetId="12" refreshError="1"/>
      <sheetData sheetId="13" refreshError="1"/>
      <sheetData sheetId="14" refreshError="1"/>
      <sheetData sheetId="15" refreshError="1">
        <row r="2">
          <cell r="B2" t="str">
            <v>2013-14 A.S.I. Revenue Projections</v>
          </cell>
        </row>
        <row r="8">
          <cell r="B8" t="str">
            <v>Summer 2013 Actual</v>
          </cell>
          <cell r="C8">
            <v>1594</v>
          </cell>
          <cell r="D8">
            <v>32</v>
          </cell>
        </row>
        <row r="9">
          <cell r="B9" t="str">
            <v>Fall 2013 Actual</v>
          </cell>
          <cell r="C9">
            <v>23258</v>
          </cell>
          <cell r="D9">
            <v>199</v>
          </cell>
        </row>
        <row r="10">
          <cell r="B10" t="str">
            <v>Winter 2014 Projected</v>
          </cell>
          <cell r="C10">
            <v>19768</v>
          </cell>
          <cell r="D10">
            <v>226</v>
          </cell>
        </row>
        <row r="11">
          <cell r="B11" t="str">
            <v>Spring 2014 Projected</v>
          </cell>
          <cell r="C11">
            <v>19237</v>
          </cell>
          <cell r="D11">
            <v>647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nature Page"/>
      <sheetName val="Memo to VPSA"/>
      <sheetName val="Update Memo to BOD"/>
      <sheetName val="3&amp;9 Memo to BOD"/>
      <sheetName val="Draft of 6&amp;6"/>
      <sheetName val="A.S.I. Memo to FC6&amp;6"/>
      <sheetName val="A.S.I. Memo to Fin"/>
      <sheetName val="Cover Sheet"/>
      <sheetName val="Student Fees"/>
      <sheetName val="Sheet2"/>
      <sheetName val="REVISED ASI TR Analysis 13-14"/>
      <sheetName val="Trailer Fund Recommendations"/>
      <sheetName val="Revenue &amp; Investments"/>
      <sheetName val="Administration"/>
      <sheetName val="Student Government"/>
      <sheetName val="Student Service Center"/>
      <sheetName val="Student &amp; University Support"/>
      <sheetName val="2014-15 Student Rev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C2" t="str">
            <v>2013/2014</v>
          </cell>
        </row>
        <row r="3">
          <cell r="E3" t="str">
            <v>Approved Operating Budget</v>
          </cell>
        </row>
      </sheetData>
      <sheetData sheetId="13" refreshError="1">
        <row r="12">
          <cell r="C12">
            <v>109205</v>
          </cell>
          <cell r="D12">
            <v>26573</v>
          </cell>
        </row>
        <row r="13">
          <cell r="D13">
            <v>12042</v>
          </cell>
        </row>
        <row r="14">
          <cell r="D14">
            <v>9929</v>
          </cell>
        </row>
        <row r="18">
          <cell r="D18">
            <v>137</v>
          </cell>
        </row>
        <row r="19">
          <cell r="D19">
            <v>500</v>
          </cell>
        </row>
        <row r="20">
          <cell r="D20">
            <v>816</v>
          </cell>
        </row>
        <row r="22">
          <cell r="D22">
            <v>3304</v>
          </cell>
        </row>
        <row r="23">
          <cell r="D23">
            <v>4405</v>
          </cell>
        </row>
        <row r="25">
          <cell r="D25">
            <v>543</v>
          </cell>
        </row>
        <row r="26">
          <cell r="D26">
            <v>1250</v>
          </cell>
        </row>
        <row r="30">
          <cell r="D30">
            <v>0</v>
          </cell>
        </row>
        <row r="34">
          <cell r="D34">
            <v>14390</v>
          </cell>
        </row>
        <row r="35">
          <cell r="D35">
            <v>11811</v>
          </cell>
        </row>
        <row r="36">
          <cell r="D36">
            <v>0</v>
          </cell>
        </row>
        <row r="37">
          <cell r="D37">
            <v>-1517</v>
          </cell>
        </row>
        <row r="38">
          <cell r="D38">
            <v>3442</v>
          </cell>
        </row>
        <row r="39">
          <cell r="D39">
            <v>5613</v>
          </cell>
        </row>
        <row r="43">
          <cell r="D43">
            <v>0</v>
          </cell>
        </row>
        <row r="50">
          <cell r="D50">
            <v>269</v>
          </cell>
        </row>
        <row r="52">
          <cell r="D52">
            <v>414</v>
          </cell>
        </row>
      </sheetData>
      <sheetData sheetId="14" refreshError="1">
        <row r="10">
          <cell r="C10">
            <v>91626</v>
          </cell>
          <cell r="D10">
            <v>18157</v>
          </cell>
        </row>
        <row r="11">
          <cell r="D11">
            <v>8260</v>
          </cell>
        </row>
        <row r="12">
          <cell r="D12">
            <v>5727</v>
          </cell>
        </row>
        <row r="16">
          <cell r="D16">
            <v>5141</v>
          </cell>
        </row>
        <row r="17">
          <cell r="D17">
            <v>256</v>
          </cell>
        </row>
        <row r="18">
          <cell r="D18">
            <v>1758</v>
          </cell>
        </row>
        <row r="23">
          <cell r="D23">
            <v>30</v>
          </cell>
        </row>
        <row r="27">
          <cell r="D27">
            <v>103</v>
          </cell>
        </row>
        <row r="31">
          <cell r="D31">
            <v>0</v>
          </cell>
        </row>
        <row r="32">
          <cell r="C32">
            <v>0</v>
          </cell>
          <cell r="D32">
            <v>0</v>
          </cell>
        </row>
        <row r="33">
          <cell r="C33">
            <v>0</v>
          </cell>
          <cell r="D33">
            <v>0</v>
          </cell>
        </row>
        <row r="34">
          <cell r="D34">
            <v>0</v>
          </cell>
        </row>
        <row r="44">
          <cell r="D44">
            <v>22899</v>
          </cell>
        </row>
        <row r="52">
          <cell r="D52">
            <v>1321</v>
          </cell>
        </row>
      </sheetData>
      <sheetData sheetId="15" refreshError="1"/>
      <sheetData sheetId="16" refreshError="1">
        <row r="6">
          <cell r="C6">
            <v>3977</v>
          </cell>
          <cell r="D6">
            <v>964.61</v>
          </cell>
        </row>
        <row r="7">
          <cell r="D7">
            <v>1220</v>
          </cell>
        </row>
        <row r="8">
          <cell r="D8">
            <v>0</v>
          </cell>
        </row>
        <row r="9">
          <cell r="D9">
            <v>197</v>
          </cell>
        </row>
        <row r="11">
          <cell r="D11">
            <v>63</v>
          </cell>
          <cell r="E11">
            <v>250</v>
          </cell>
        </row>
        <row r="13">
          <cell r="D13">
            <v>166</v>
          </cell>
        </row>
        <row r="14">
          <cell r="D14">
            <v>399</v>
          </cell>
        </row>
        <row r="20">
          <cell r="D20">
            <v>3909</v>
          </cell>
        </row>
        <row r="21">
          <cell r="D21">
            <v>19259</v>
          </cell>
        </row>
        <row r="22">
          <cell r="D22">
            <v>21952</v>
          </cell>
        </row>
        <row r="23">
          <cell r="D23">
            <v>5294</v>
          </cell>
        </row>
        <row r="27">
          <cell r="D27">
            <v>-126</v>
          </cell>
        </row>
        <row r="28">
          <cell r="D28">
            <v>0</v>
          </cell>
        </row>
        <row r="29">
          <cell r="D29">
            <v>18000</v>
          </cell>
        </row>
        <row r="33">
          <cell r="D33">
            <v>0</v>
          </cell>
        </row>
        <row r="34">
          <cell r="D34">
            <v>0</v>
          </cell>
        </row>
        <row r="35">
          <cell r="D35">
            <v>0</v>
          </cell>
        </row>
      </sheetData>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SUMMARY"/>
      <sheetName val="REV&amp;EXP"/>
      <sheetName val="102804"/>
      <sheetName val="103007"/>
      <sheetName val="103008"/>
      <sheetName val="107000"/>
      <sheetName val="107090"/>
      <sheetName val="Fixed assets"/>
      <sheetName val="190090"/>
      <sheetName val="201001"/>
      <sheetName val="201008"/>
      <sheetName val="201805"/>
      <sheetName val="201920"/>
      <sheetName val="201921"/>
      <sheetName val="201926"/>
      <sheetName val="201927"/>
      <sheetName val="202000"/>
      <sheetName val="208001"/>
      <sheetName val="250860"/>
      <sheetName val="250941"/>
      <sheetName val="250942"/>
      <sheetName val="250943"/>
      <sheetName val="250944"/>
      <sheetName val="250945"/>
      <sheetName val="250949"/>
      <sheetName val="261003"/>
      <sheetName val="263090"/>
      <sheetName val="508000"/>
      <sheetName val="508002"/>
      <sheetName val="580901"/>
      <sheetName val="510901"/>
      <sheetName val="580840"/>
      <sheetName val="Stateside account"/>
      <sheetName val="Trial Balance"/>
      <sheetName val="Actuals"/>
      <sheetName val="Detail"/>
      <sheetName val="203004"/>
      <sheetName val="201807"/>
      <sheetName val="250948"/>
      <sheetName val="201902"/>
      <sheetName val="250001"/>
      <sheetName val="250950"/>
    </sheetNames>
    <sheetDataSet>
      <sheetData sheetId="0"/>
      <sheetData sheetId="1"/>
      <sheetData sheetId="2">
        <row r="9">
          <cell r="G9">
            <v>45628.44</v>
          </cell>
        </row>
        <row r="10">
          <cell r="G10">
            <v>136957.16</v>
          </cell>
        </row>
        <row r="11">
          <cell r="G11">
            <v>2001.12</v>
          </cell>
        </row>
        <row r="13">
          <cell r="G13">
            <v>15234.19</v>
          </cell>
        </row>
        <row r="14">
          <cell r="G14">
            <v>1553.42</v>
          </cell>
        </row>
        <row r="15">
          <cell r="G15">
            <v>19991.919999999998</v>
          </cell>
        </row>
        <row r="16">
          <cell r="G16">
            <v>-4290.4799999999996</v>
          </cell>
        </row>
        <row r="17">
          <cell r="G17">
            <v>521.57000000000005</v>
          </cell>
        </row>
        <row r="18">
          <cell r="G18">
            <v>1481.43</v>
          </cell>
        </row>
        <row r="19">
          <cell r="G19">
            <v>447.24</v>
          </cell>
        </row>
        <row r="20">
          <cell r="G20">
            <v>1110.4100000000001</v>
          </cell>
        </row>
        <row r="21">
          <cell r="G21">
            <v>6583.34</v>
          </cell>
        </row>
        <row r="22">
          <cell r="G22">
            <v>1396.88</v>
          </cell>
        </row>
        <row r="24">
          <cell r="G24">
            <v>19421.68</v>
          </cell>
        </row>
        <row r="25">
          <cell r="G25">
            <v>57560</v>
          </cell>
        </row>
        <row r="26">
          <cell r="G26">
            <v>5000</v>
          </cell>
        </row>
        <row r="27">
          <cell r="G27">
            <v>10796.36</v>
          </cell>
        </row>
        <row r="29">
          <cell r="G29">
            <v>59.69</v>
          </cell>
        </row>
        <row r="30">
          <cell r="G30">
            <v>22453.200000000001</v>
          </cell>
        </row>
        <row r="31">
          <cell r="G31">
            <v>1952.82</v>
          </cell>
        </row>
        <row r="33">
          <cell r="G33">
            <v>328.3</v>
          </cell>
        </row>
        <row r="34">
          <cell r="G34">
            <v>4512</v>
          </cell>
        </row>
        <row r="35">
          <cell r="G35">
            <v>833.5</v>
          </cell>
        </row>
        <row r="36">
          <cell r="G36">
            <v>14722.02</v>
          </cell>
        </row>
        <row r="37">
          <cell r="G37">
            <v>5911</v>
          </cell>
        </row>
        <row r="38">
          <cell r="G38">
            <v>6158.88</v>
          </cell>
        </row>
        <row r="39">
          <cell r="G39">
            <v>1540.74</v>
          </cell>
        </row>
        <row r="40">
          <cell r="G40">
            <v>2495.56</v>
          </cell>
        </row>
        <row r="44">
          <cell r="G44">
            <v>13452.65</v>
          </cell>
        </row>
        <row r="57">
          <cell r="G57">
            <v>1453671.07</v>
          </cell>
        </row>
        <row r="65">
          <cell r="G65">
            <v>28668.829999999998</v>
          </cell>
        </row>
        <row r="66">
          <cell r="G66">
            <v>152676.07999999999</v>
          </cell>
        </row>
        <row r="67">
          <cell r="G67">
            <v>2322.5</v>
          </cell>
        </row>
        <row r="69">
          <cell r="G69">
            <v>13813.14</v>
          </cell>
        </row>
        <row r="70">
          <cell r="G70">
            <v>2608.98</v>
          </cell>
        </row>
        <row r="71">
          <cell r="G71">
            <v>26726.5</v>
          </cell>
        </row>
        <row r="72">
          <cell r="G72">
            <v>23060.12</v>
          </cell>
        </row>
        <row r="73">
          <cell r="G73">
            <v>472.25</v>
          </cell>
        </row>
        <row r="74">
          <cell r="G74">
            <v>2004.33</v>
          </cell>
        </row>
        <row r="75">
          <cell r="G75">
            <v>235.4</v>
          </cell>
        </row>
        <row r="76">
          <cell r="G76">
            <v>983.5</v>
          </cell>
        </row>
        <row r="77">
          <cell r="G77">
            <v>11991.23</v>
          </cell>
        </row>
        <row r="78">
          <cell r="G78">
            <v>4018.28</v>
          </cell>
        </row>
        <row r="79">
          <cell r="G79">
            <v>24734.73</v>
          </cell>
        </row>
        <row r="80">
          <cell r="G80">
            <v>4621.33</v>
          </cell>
        </row>
        <row r="82">
          <cell r="G82">
            <v>95668.21</v>
          </cell>
        </row>
        <row r="83">
          <cell r="G83">
            <v>53599.759999999995</v>
          </cell>
        </row>
        <row r="84">
          <cell r="G84">
            <v>4688.2299999999996</v>
          </cell>
        </row>
        <row r="85">
          <cell r="G85">
            <v>27003.9</v>
          </cell>
        </row>
        <row r="86">
          <cell r="G86">
            <v>2249.88</v>
          </cell>
        </row>
        <row r="89">
          <cell r="G89">
            <v>97.88</v>
          </cell>
        </row>
        <row r="90">
          <cell r="G90">
            <v>46.61</v>
          </cell>
        </row>
        <row r="102">
          <cell r="G102">
            <v>9380.77</v>
          </cell>
        </row>
        <row r="103">
          <cell r="G103">
            <v>5858.4</v>
          </cell>
        </row>
        <row r="104">
          <cell r="G104">
            <v>-2206.59</v>
          </cell>
        </row>
        <row r="105">
          <cell r="G105">
            <v>0</v>
          </cell>
        </row>
        <row r="106">
          <cell r="G106">
            <v>818</v>
          </cell>
        </row>
        <row r="107">
          <cell r="G107">
            <v>91</v>
          </cell>
        </row>
        <row r="108">
          <cell r="G108">
            <v>12990.7</v>
          </cell>
        </row>
        <row r="109">
          <cell r="G109">
            <v>234.55</v>
          </cell>
        </row>
        <row r="110">
          <cell r="G110">
            <v>1643.35</v>
          </cell>
        </row>
        <row r="111">
          <cell r="G111">
            <v>4700</v>
          </cell>
        </row>
        <row r="112">
          <cell r="G112">
            <v>52</v>
          </cell>
        </row>
        <row r="114">
          <cell r="G114">
            <v>431</v>
          </cell>
        </row>
        <row r="117">
          <cell r="G117">
            <v>67.489999999999995</v>
          </cell>
        </row>
        <row r="123">
          <cell r="G123">
            <v>4000</v>
          </cell>
        </row>
        <row r="124">
          <cell r="G124">
            <v>40488.28</v>
          </cell>
        </row>
        <row r="125">
          <cell r="G125">
            <v>1621.05</v>
          </cell>
        </row>
        <row r="126">
          <cell r="G126">
            <v>12039.29</v>
          </cell>
        </row>
        <row r="128">
          <cell r="G128">
            <v>140000</v>
          </cell>
        </row>
        <row r="129">
          <cell r="G129">
            <v>3500</v>
          </cell>
        </row>
        <row r="130">
          <cell r="G130">
            <v>6744.27</v>
          </cell>
        </row>
        <row r="131">
          <cell r="G131">
            <v>225284.28</v>
          </cell>
        </row>
        <row r="132">
          <cell r="G132">
            <v>103360.23</v>
          </cell>
        </row>
        <row r="133">
          <cell r="G133">
            <v>5000</v>
          </cell>
        </row>
        <row r="134">
          <cell r="G134">
            <v>9646.5</v>
          </cell>
        </row>
        <row r="135">
          <cell r="G135">
            <v>2062.59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nature Page"/>
      <sheetName val="Memo to VPSA"/>
      <sheetName val="Update Memo to BOD"/>
      <sheetName val="2016-17 3&amp;9 Memo to FC"/>
      <sheetName val="2016-17 Memo to BOD"/>
      <sheetName val="Draft of 6&amp;6"/>
      <sheetName val="A.S.I. Memo to FC6&amp;6"/>
      <sheetName val="A.S.I. Memo to Fin"/>
      <sheetName val="Memo to ASI BOD"/>
      <sheetName val="Cover Sheet"/>
      <sheetName val="Student Fees"/>
      <sheetName val="Sheet2"/>
      <sheetName val="REVISED ASI TR Analysis 13-14"/>
      <sheetName val="Trailer Fund Recommendations"/>
      <sheetName val="Revenue &amp; Investments"/>
      <sheetName val="Administration"/>
      <sheetName val="Student Government"/>
      <sheetName val="Student Service Center"/>
      <sheetName val="Student &amp; University Support"/>
      <sheetName val="2016-17 Student Rev Proje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2">
          <cell r="F12">
            <v>157165.568</v>
          </cell>
        </row>
        <row r="13">
          <cell r="F13">
            <v>63767.591945599997</v>
          </cell>
        </row>
        <row r="14">
          <cell r="F14">
            <v>58370</v>
          </cell>
        </row>
        <row r="18">
          <cell r="F18">
            <v>910</v>
          </cell>
        </row>
        <row r="19">
          <cell r="F19">
            <v>983.33333333333326</v>
          </cell>
        </row>
        <row r="20">
          <cell r="F20">
            <v>3360</v>
          </cell>
        </row>
        <row r="22">
          <cell r="F22">
            <v>6030</v>
          </cell>
        </row>
        <row r="23">
          <cell r="F23">
            <v>4050</v>
          </cell>
        </row>
        <row r="25">
          <cell r="F25">
            <v>7105</v>
          </cell>
        </row>
        <row r="26">
          <cell r="F26">
            <v>5000</v>
          </cell>
        </row>
        <row r="30">
          <cell r="F30">
            <v>9410</v>
          </cell>
        </row>
        <row r="34">
          <cell r="F34">
            <v>57560</v>
          </cell>
        </row>
        <row r="35">
          <cell r="F35">
            <v>21625</v>
          </cell>
        </row>
        <row r="36">
          <cell r="F36">
            <v>10806.52</v>
          </cell>
        </row>
        <row r="37">
          <cell r="F37">
            <v>8000</v>
          </cell>
        </row>
        <row r="38">
          <cell r="F38">
            <v>7000</v>
          </cell>
        </row>
        <row r="39">
          <cell r="F39">
            <v>22453.200000000001</v>
          </cell>
        </row>
        <row r="43">
          <cell r="F43">
            <v>0</v>
          </cell>
        </row>
      </sheetData>
      <sheetData sheetId="16">
        <row r="10">
          <cell r="F10">
            <v>170064.78320000001</v>
          </cell>
        </row>
        <row r="11">
          <cell r="F11">
            <v>34970</v>
          </cell>
        </row>
        <row r="12">
          <cell r="F12">
            <v>75053.951537440007</v>
          </cell>
        </row>
        <row r="16">
          <cell r="F16">
            <v>14281.4</v>
          </cell>
        </row>
        <row r="17">
          <cell r="F17">
            <v>5618</v>
          </cell>
        </row>
        <row r="18">
          <cell r="F18">
            <v>8780</v>
          </cell>
        </row>
        <row r="19">
          <cell r="F19">
            <v>4579.9591999999993</v>
          </cell>
        </row>
        <row r="24">
          <cell r="F24">
            <v>37825</v>
          </cell>
        </row>
        <row r="28">
          <cell r="F28">
            <v>10365</v>
          </cell>
        </row>
        <row r="32">
          <cell r="F32">
            <v>100</v>
          </cell>
        </row>
        <row r="33">
          <cell r="F33">
            <v>0</v>
          </cell>
        </row>
        <row r="34">
          <cell r="F34">
            <v>0</v>
          </cell>
        </row>
        <row r="35">
          <cell r="F35">
            <v>750</v>
          </cell>
        </row>
        <row r="45">
          <cell r="F45">
            <v>40872.01</v>
          </cell>
        </row>
        <row r="49">
          <cell r="F49">
            <v>118983.27</v>
          </cell>
        </row>
      </sheetData>
      <sheetData sheetId="17"/>
      <sheetData sheetId="18">
        <row r="6">
          <cell r="F6">
            <v>8000</v>
          </cell>
        </row>
        <row r="7">
          <cell r="F7">
            <v>0</v>
          </cell>
        </row>
        <row r="8">
          <cell r="F8">
            <v>4100</v>
          </cell>
        </row>
        <row r="9">
          <cell r="F9">
            <v>3000</v>
          </cell>
        </row>
        <row r="10">
          <cell r="F10">
            <v>1500</v>
          </cell>
        </row>
        <row r="13">
          <cell r="F13">
            <v>0</v>
          </cell>
        </row>
        <row r="14">
          <cell r="F14">
            <v>1000</v>
          </cell>
        </row>
        <row r="15">
          <cell r="F15">
            <v>9000</v>
          </cell>
        </row>
        <row r="21">
          <cell r="F21">
            <v>110453</v>
          </cell>
        </row>
        <row r="22">
          <cell r="F22">
            <v>0</v>
          </cell>
        </row>
        <row r="24">
          <cell r="F24">
            <v>121200</v>
          </cell>
        </row>
        <row r="25">
          <cell r="F25">
            <v>56266</v>
          </cell>
        </row>
        <row r="29">
          <cell r="F29">
            <v>15000</v>
          </cell>
        </row>
        <row r="30">
          <cell r="F30">
            <v>8000</v>
          </cell>
        </row>
        <row r="31">
          <cell r="F31">
            <v>0</v>
          </cell>
        </row>
        <row r="35">
          <cell r="F35">
            <v>125211</v>
          </cell>
        </row>
        <row r="36">
          <cell r="F36">
            <v>5100</v>
          </cell>
        </row>
        <row r="37">
          <cell r="F37">
            <v>12000</v>
          </cell>
        </row>
        <row r="38">
          <cell r="F38">
            <v>10000</v>
          </cell>
        </row>
        <row r="39">
          <cell r="F39">
            <v>17000</v>
          </cell>
        </row>
        <row r="40">
          <cell r="F40">
            <v>9700</v>
          </cell>
        </row>
      </sheetData>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nature Page"/>
      <sheetName val="Memo to VPSA"/>
      <sheetName val="Update Memo to BOD"/>
      <sheetName val="3&amp;9 Memo to BOD"/>
      <sheetName val="Draft of 6&amp;6"/>
      <sheetName val="A.S.I. Memo to FC6&amp;6"/>
      <sheetName val="A.S.I. Memo to Fin"/>
      <sheetName val="Cover Sheet"/>
      <sheetName val="Student Fees"/>
      <sheetName val="Sheet2"/>
      <sheetName val="REVISED ASI TR Analysis 13-14"/>
      <sheetName val="Trailer Fund Recommendations"/>
      <sheetName val="Revenue &amp; Investments"/>
      <sheetName val="Administration"/>
      <sheetName val="Student Government"/>
      <sheetName val="Student Service Center"/>
      <sheetName val="Student &amp; University Support"/>
      <sheetName val="2013-14 Student Rev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
          <cell r="D8">
            <v>0</v>
          </cell>
        </row>
        <row r="51">
          <cell r="D51">
            <v>0</v>
          </cell>
        </row>
      </sheetData>
      <sheetData sheetId="14" refreshError="1"/>
      <sheetData sheetId="15" refreshError="1"/>
      <sheetData sheetId="16" refreshError="1">
        <row r="6">
          <cell r="D6">
            <v>1797</v>
          </cell>
        </row>
        <row r="12">
          <cell r="D12">
            <v>0</v>
          </cell>
        </row>
      </sheetData>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
  <sheetViews>
    <sheetView workbookViewId="0">
      <selection activeCell="L13" sqref="L13"/>
    </sheetView>
  </sheetViews>
  <sheetFormatPr defaultRowHeight="12.75"/>
  <sheetData>
    <row r="5" spans="12:12">
      <c r="L5" s="373"/>
    </row>
  </sheetData>
  <pageMargins left="0.7" right="0.7" top="0.75" bottom="0.75" header="0.3" footer="0.3"/>
  <pageSetup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
  <sheetViews>
    <sheetView topLeftCell="A7" workbookViewId="0"/>
  </sheetViews>
  <sheetFormatPr defaultRowHeight="12.75"/>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8"/>
  <sheetViews>
    <sheetView tabSelected="1" topLeftCell="C53" zoomScaleNormal="100" workbookViewId="0">
      <selection activeCell="D43" sqref="D43"/>
    </sheetView>
  </sheetViews>
  <sheetFormatPr defaultColWidth="8.86328125" defaultRowHeight="12.75"/>
  <cols>
    <col min="1" max="1" width="7.3984375" customWidth="1"/>
    <col min="2" max="2" width="69.59765625" customWidth="1"/>
    <col min="3" max="3" width="20.265625" customWidth="1"/>
    <col min="4" max="4" width="16.1328125" style="71" customWidth="1"/>
    <col min="5" max="5" width="20.1328125" style="71" customWidth="1"/>
    <col min="6" max="6" width="20.3984375" customWidth="1"/>
    <col min="7" max="7" width="16.86328125" customWidth="1"/>
    <col min="8" max="8" width="21.59765625" customWidth="1"/>
    <col min="9" max="9" width="15.86328125" style="70" customWidth="1"/>
    <col min="10" max="10" width="17.265625" customWidth="1"/>
    <col min="11" max="11" width="14" hidden="1" customWidth="1"/>
    <col min="12" max="12" width="15.86328125" style="37" hidden="1" customWidth="1"/>
    <col min="13" max="13" width="16.3984375" hidden="1" customWidth="1"/>
    <col min="14" max="14" width="22.73046875" customWidth="1"/>
  </cols>
  <sheetData>
    <row r="1" spans="2:13" ht="13.5" customHeight="1"/>
    <row r="2" spans="2:13" ht="22.9" thickBot="1">
      <c r="B2" s="616" t="s">
        <v>111</v>
      </c>
      <c r="F2" s="925"/>
      <c r="M2" s="47"/>
    </row>
    <row r="3" spans="2:13" ht="27.75">
      <c r="B3" s="295" t="s">
        <v>39</v>
      </c>
      <c r="C3" s="366" t="s">
        <v>29</v>
      </c>
      <c r="D3" s="391" t="s">
        <v>29</v>
      </c>
      <c r="E3" s="366" t="s">
        <v>40</v>
      </c>
      <c r="F3" s="366" t="s">
        <v>41</v>
      </c>
      <c r="G3" s="395" t="s">
        <v>9</v>
      </c>
      <c r="H3" s="396" t="s">
        <v>29</v>
      </c>
      <c r="I3" s="400" t="s">
        <v>31</v>
      </c>
      <c r="J3" s="46"/>
      <c r="L3" s="46"/>
      <c r="M3" s="47"/>
    </row>
    <row r="4" spans="2:13" ht="15">
      <c r="B4" s="296" t="s">
        <v>10</v>
      </c>
      <c r="C4" s="367" t="s">
        <v>32</v>
      </c>
      <c r="D4" s="392" t="s">
        <v>6</v>
      </c>
      <c r="E4" s="367" t="s">
        <v>42</v>
      </c>
      <c r="F4" s="367" t="s">
        <v>43</v>
      </c>
      <c r="G4" s="367" t="s">
        <v>14</v>
      </c>
      <c r="H4" s="397" t="s">
        <v>12</v>
      </c>
      <c r="I4" s="401" t="s">
        <v>34</v>
      </c>
      <c r="J4" s="46"/>
      <c r="L4" s="46"/>
      <c r="M4" s="47"/>
    </row>
    <row r="5" spans="2:13" s="53" customFormat="1" ht="11.65">
      <c r="B5" s="387"/>
      <c r="C5" s="389"/>
      <c r="D5" s="393"/>
      <c r="E5" s="389"/>
      <c r="F5" s="368" t="s">
        <v>44</v>
      </c>
      <c r="G5" s="389" t="s">
        <v>36</v>
      </c>
      <c r="H5" s="398" t="s">
        <v>45</v>
      </c>
      <c r="I5" s="389" t="s">
        <v>38</v>
      </c>
      <c r="J5" s="54"/>
      <c r="L5" s="54"/>
      <c r="M5" s="47"/>
    </row>
    <row r="6" spans="2:13" s="53" customFormat="1" ht="12" thickBot="1">
      <c r="B6" s="388"/>
      <c r="C6" s="390" t="s">
        <v>17</v>
      </c>
      <c r="D6" s="394" t="s">
        <v>18</v>
      </c>
      <c r="E6" s="390" t="s">
        <v>46</v>
      </c>
      <c r="F6" s="369" t="s">
        <v>47</v>
      </c>
      <c r="G6" s="390"/>
      <c r="H6" s="399"/>
      <c r="I6" s="390"/>
      <c r="J6" s="54"/>
      <c r="L6" s="54"/>
      <c r="M6" s="47"/>
    </row>
    <row r="7" spans="2:13" ht="13.15" thickBot="1">
      <c r="C7" s="56"/>
      <c r="D7" s="80"/>
      <c r="E7" s="56"/>
      <c r="F7" s="81"/>
      <c r="G7" s="56"/>
      <c r="H7" s="82"/>
      <c r="I7" s="56"/>
      <c r="J7" s="56"/>
      <c r="L7" s="58"/>
      <c r="M7" s="47"/>
    </row>
    <row r="8" spans="2:13">
      <c r="B8" s="1121" t="s">
        <v>112</v>
      </c>
      <c r="C8" s="1122">
        <v>259</v>
      </c>
      <c r="D8" s="1123">
        <v>3</v>
      </c>
      <c r="E8" s="1124">
        <f>+C8-D8</f>
        <v>256</v>
      </c>
      <c r="F8" s="1125">
        <f>(E8*0%)+E8</f>
        <v>256</v>
      </c>
      <c r="G8" s="61">
        <v>26.87</v>
      </c>
      <c r="H8" s="248">
        <f>+F8*G8</f>
        <v>6878.72</v>
      </c>
      <c r="I8" s="248">
        <f>+H8</f>
        <v>6878.72</v>
      </c>
      <c r="J8" s="61"/>
      <c r="L8" s="58"/>
      <c r="M8" s="47"/>
    </row>
    <row r="9" spans="2:13">
      <c r="B9" s="1126" t="s">
        <v>113</v>
      </c>
      <c r="C9" s="1127">
        <v>27827</v>
      </c>
      <c r="D9" s="1128">
        <v>305</v>
      </c>
      <c r="E9" s="1129">
        <f>+C9-D9</f>
        <v>27522</v>
      </c>
      <c r="F9" s="1130">
        <f>(E9*0%)+E9</f>
        <v>27522</v>
      </c>
      <c r="G9" s="61">
        <v>26.88</v>
      </c>
      <c r="H9" s="248">
        <f>+F9*G9</f>
        <v>739791.35999999999</v>
      </c>
      <c r="I9" s="248">
        <f>+H9</f>
        <v>739791.35999999999</v>
      </c>
      <c r="J9" s="61"/>
      <c r="L9" s="58"/>
      <c r="M9" s="47"/>
    </row>
    <row r="10" spans="2:13" ht="13.15" thickBot="1">
      <c r="B10" s="1131" t="s">
        <v>114</v>
      </c>
      <c r="C10" s="1132">
        <v>25632</v>
      </c>
      <c r="D10" s="1133">
        <v>280</v>
      </c>
      <c r="E10" s="1134">
        <f>+C10-D10</f>
        <v>25352</v>
      </c>
      <c r="F10" s="1135">
        <f>(E10*0%)+E10</f>
        <v>25352</v>
      </c>
      <c r="G10" s="61">
        <v>26.87</v>
      </c>
      <c r="H10" s="248">
        <f>+F10*G10</f>
        <v>681208.24</v>
      </c>
      <c r="I10" s="248">
        <f>+H10</f>
        <v>681208.24</v>
      </c>
      <c r="J10" s="61"/>
      <c r="L10" s="58"/>
      <c r="M10" s="47"/>
    </row>
    <row r="11" spans="2:13" ht="8.25" customHeight="1">
      <c r="B11" s="60"/>
      <c r="D11" s="84"/>
      <c r="E11" s="75"/>
      <c r="G11" s="61"/>
      <c r="H11" s="248"/>
      <c r="I11" s="248"/>
      <c r="J11" s="61"/>
      <c r="L11" s="58"/>
      <c r="M11" s="47"/>
    </row>
    <row r="12" spans="2:13">
      <c r="B12" s="60" t="s">
        <v>115</v>
      </c>
      <c r="C12" s="77">
        <f>+SUM(C8:C10)</f>
        <v>53718</v>
      </c>
      <c r="D12" s="84">
        <f>SUM(D8:D10)</f>
        <v>588</v>
      </c>
      <c r="E12" s="78">
        <f>C12-D12</f>
        <v>53130</v>
      </c>
      <c r="G12" s="61">
        <f>SUM(H8:H10)/C12</f>
        <v>26.581003015748909</v>
      </c>
      <c r="H12" s="248">
        <f>+G12*C12</f>
        <v>1427878.3199999998</v>
      </c>
      <c r="I12" s="248">
        <f>+H12</f>
        <v>1427878.3199999998</v>
      </c>
      <c r="J12" s="61"/>
      <c r="L12" s="68"/>
      <c r="M12" s="47"/>
    </row>
    <row r="13" spans="2:13" ht="13.15" thickBot="1">
      <c r="B13" s="60"/>
      <c r="M13" s="47"/>
    </row>
    <row r="14" spans="2:13" ht="27.75">
      <c r="B14" s="287" t="s">
        <v>28</v>
      </c>
      <c r="C14" s="366" t="s">
        <v>29</v>
      </c>
      <c r="D14" s="402" t="s">
        <v>29</v>
      </c>
      <c r="E14" s="366" t="s">
        <v>30</v>
      </c>
      <c r="F14" s="403" t="s">
        <v>9</v>
      </c>
      <c r="G14" s="366" t="s">
        <v>29</v>
      </c>
      <c r="H14" s="400" t="s">
        <v>31</v>
      </c>
      <c r="J14" s="46"/>
      <c r="L14" s="46"/>
      <c r="M14" s="47"/>
    </row>
    <row r="15" spans="2:13" ht="15">
      <c r="B15" s="290" t="s">
        <v>10</v>
      </c>
      <c r="C15" s="367" t="s">
        <v>32</v>
      </c>
      <c r="D15" s="404" t="s">
        <v>6</v>
      </c>
      <c r="E15" s="367" t="s">
        <v>33</v>
      </c>
      <c r="F15" s="405" t="s">
        <v>14</v>
      </c>
      <c r="G15" s="367" t="s">
        <v>12</v>
      </c>
      <c r="H15" s="401" t="s">
        <v>34</v>
      </c>
      <c r="J15" s="46"/>
      <c r="L15" s="46"/>
      <c r="M15" s="47"/>
    </row>
    <row r="16" spans="2:13" s="53" customFormat="1" ht="12" thickBot="1">
      <c r="B16" s="406"/>
      <c r="C16" s="390" t="s">
        <v>17</v>
      </c>
      <c r="D16" s="407" t="s">
        <v>18</v>
      </c>
      <c r="E16" s="390" t="s">
        <v>35</v>
      </c>
      <c r="F16" s="408" t="s">
        <v>36</v>
      </c>
      <c r="G16" s="390" t="s">
        <v>37</v>
      </c>
      <c r="H16" s="390" t="s">
        <v>38</v>
      </c>
      <c r="I16" s="72" t="s">
        <v>116</v>
      </c>
      <c r="J16" s="54"/>
      <c r="L16" s="54"/>
      <c r="M16" s="47"/>
    </row>
    <row r="17" spans="2:13">
      <c r="C17" s="56"/>
      <c r="D17" s="57"/>
      <c r="E17" s="56"/>
      <c r="F17" s="56"/>
      <c r="G17" s="56"/>
      <c r="H17" s="56"/>
      <c r="J17" s="56"/>
      <c r="L17" s="58"/>
      <c r="M17" s="47"/>
    </row>
    <row r="18" spans="2:13">
      <c r="B18" s="60" t="str">
        <f>B8</f>
        <v>Summer 2017 Actual</v>
      </c>
      <c r="C18" s="73">
        <f>E8</f>
        <v>256</v>
      </c>
      <c r="D18" s="74">
        <f>D8/C8</f>
        <v>1.1583011583011582E-2</v>
      </c>
      <c r="E18" s="75">
        <f>D8</f>
        <v>3</v>
      </c>
      <c r="F18" s="61">
        <v>1</v>
      </c>
      <c r="G18" s="76">
        <f>F18*E18</f>
        <v>3</v>
      </c>
      <c r="H18" s="76">
        <f>+G18</f>
        <v>3</v>
      </c>
      <c r="J18" s="278"/>
      <c r="L18" s="58"/>
      <c r="M18" s="47"/>
    </row>
    <row r="19" spans="2:13">
      <c r="B19" s="60" t="str">
        <f>B9</f>
        <v>Fall Semester 2017 Projected</v>
      </c>
      <c r="C19" s="73">
        <f>E9</f>
        <v>27522</v>
      </c>
      <c r="D19" s="74">
        <f>D9/C9</f>
        <v>1.0960577856039098E-2</v>
      </c>
      <c r="E19" s="75">
        <f>D9</f>
        <v>305</v>
      </c>
      <c r="F19" s="61">
        <v>1</v>
      </c>
      <c r="G19" s="76">
        <f>F19*E19</f>
        <v>305</v>
      </c>
      <c r="H19" s="76">
        <f>+G19</f>
        <v>305</v>
      </c>
      <c r="J19" s="61"/>
      <c r="L19" s="58"/>
      <c r="M19" s="47"/>
    </row>
    <row r="20" spans="2:13">
      <c r="B20" s="60" t="str">
        <f>B10</f>
        <v>Spring 2018 Projected</v>
      </c>
      <c r="C20" s="73">
        <f>E10</f>
        <v>25352</v>
      </c>
      <c r="D20" s="74">
        <f>D10/C10</f>
        <v>1.0923845193508116E-2</v>
      </c>
      <c r="E20" s="75">
        <f>D10</f>
        <v>280</v>
      </c>
      <c r="F20" s="61">
        <v>1</v>
      </c>
      <c r="G20" s="76">
        <f>F20*E20</f>
        <v>280</v>
      </c>
      <c r="H20" s="76">
        <f>+G20</f>
        <v>280</v>
      </c>
      <c r="J20" s="61"/>
      <c r="L20" s="58"/>
      <c r="M20" s="47"/>
    </row>
    <row r="21" spans="2:13" ht="7.5" customHeight="1">
      <c r="B21" s="60"/>
      <c r="D21" s="74"/>
      <c r="E21" s="75"/>
      <c r="F21" s="61"/>
      <c r="G21" s="76"/>
      <c r="H21" s="76"/>
      <c r="J21" s="61"/>
      <c r="L21" s="58"/>
      <c r="M21" s="47"/>
    </row>
    <row r="22" spans="2:13">
      <c r="B22" s="60" t="str">
        <f>B12</f>
        <v>Projected FY</v>
      </c>
      <c r="C22" s="77">
        <f>+SUM(C18:C20)</f>
        <v>53130</v>
      </c>
      <c r="D22" s="74">
        <f>+AVERAGE(D18:D20)</f>
        <v>1.1155811544186265E-2</v>
      </c>
      <c r="E22" s="78">
        <f>+SUM(E18:E20)</f>
        <v>588</v>
      </c>
      <c r="F22" s="61">
        <v>1</v>
      </c>
      <c r="G22" s="76">
        <f>F22*E22</f>
        <v>588</v>
      </c>
      <c r="H22" s="76">
        <f>+G22</f>
        <v>588</v>
      </c>
      <c r="J22" s="61"/>
      <c r="L22" s="68"/>
      <c r="M22" s="47"/>
    </row>
    <row r="23" spans="2:13" ht="13.15" thickBot="1">
      <c r="D23" s="69"/>
      <c r="E23"/>
      <c r="M23" s="47"/>
    </row>
    <row r="24" spans="2:13" ht="27.75">
      <c r="B24" s="287" t="s">
        <v>5</v>
      </c>
      <c r="C24" s="391" t="s">
        <v>6</v>
      </c>
      <c r="D24" s="660" t="s">
        <v>7</v>
      </c>
      <c r="E24" s="366" t="s">
        <v>8</v>
      </c>
      <c r="F24" s="409" t="s">
        <v>117</v>
      </c>
      <c r="G24" s="409" t="s">
        <v>117</v>
      </c>
      <c r="H24" s="366" t="s">
        <v>8</v>
      </c>
      <c r="I24" s="1408"/>
      <c r="J24" s="44"/>
      <c r="K24" s="44"/>
      <c r="L24" s="46"/>
      <c r="M24" s="47"/>
    </row>
    <row r="25" spans="2:13" ht="15">
      <c r="B25" s="290" t="s">
        <v>10</v>
      </c>
      <c r="C25" s="367" t="s">
        <v>11</v>
      </c>
      <c r="D25" s="661" t="s">
        <v>11</v>
      </c>
      <c r="E25" s="367" t="s">
        <v>12</v>
      </c>
      <c r="F25" s="405" t="s">
        <v>118</v>
      </c>
      <c r="G25" s="405" t="s">
        <v>119</v>
      </c>
      <c r="H25" s="367" t="s">
        <v>12</v>
      </c>
      <c r="I25" s="43" t="s">
        <v>13</v>
      </c>
      <c r="J25" s="43"/>
      <c r="K25" s="43"/>
      <c r="L25" s="49"/>
      <c r="M25" s="47"/>
    </row>
    <row r="26" spans="2:13" s="53" customFormat="1" ht="12" thickBot="1">
      <c r="B26" s="406"/>
      <c r="C26" s="390" t="s">
        <v>17</v>
      </c>
      <c r="D26" s="662" t="s">
        <v>18</v>
      </c>
      <c r="E26" s="390" t="s">
        <v>36</v>
      </c>
      <c r="F26" s="408" t="s">
        <v>120</v>
      </c>
      <c r="G26" s="408" t="s">
        <v>121</v>
      </c>
      <c r="H26" s="390" t="s">
        <v>122</v>
      </c>
      <c r="I26" s="54" t="s">
        <v>18</v>
      </c>
      <c r="J26" s="54"/>
      <c r="K26" s="54"/>
      <c r="L26" s="54"/>
      <c r="M26" s="47"/>
    </row>
    <row r="27" spans="2:13" ht="13.15" thickBot="1">
      <c r="C27" s="56"/>
      <c r="D27" s="57"/>
      <c r="E27" s="663"/>
      <c r="F27" s="56"/>
      <c r="G27" s="56"/>
      <c r="H27" s="56"/>
      <c r="I27" s="58"/>
      <c r="J27" s="58"/>
      <c r="K27" s="58"/>
      <c r="L27" s="58"/>
      <c r="M27" s="47"/>
    </row>
    <row r="28" spans="2:13">
      <c r="B28" s="1136" t="str">
        <f>B18</f>
        <v>Summer 2017 Actual</v>
      </c>
      <c r="C28" s="1137">
        <f>+H18</f>
        <v>3</v>
      </c>
      <c r="D28" s="1137">
        <f>I8</f>
        <v>6878.72</v>
      </c>
      <c r="E28" s="1138">
        <f>SUM(C28:D28)</f>
        <v>6881.72</v>
      </c>
      <c r="F28" s="1139">
        <v>6426</v>
      </c>
      <c r="G28" s="1140">
        <f>F28-E28</f>
        <v>-455.72000000000025</v>
      </c>
      <c r="H28" s="1138">
        <f>E28+G28</f>
        <v>6426</v>
      </c>
      <c r="I28" s="62"/>
      <c r="J28" s="64"/>
      <c r="K28" s="64"/>
      <c r="L28" s="58"/>
      <c r="M28" s="47"/>
    </row>
    <row r="29" spans="2:13">
      <c r="B29" s="1141" t="str">
        <f>B19</f>
        <v>Fall Semester 2017 Projected</v>
      </c>
      <c r="C29" s="1142">
        <f>+H19</f>
        <v>305</v>
      </c>
      <c r="D29" s="1142">
        <f>I9</f>
        <v>739791.35999999999</v>
      </c>
      <c r="E29" s="1143">
        <f>SUM(C29:D29)</f>
        <v>740096.36</v>
      </c>
      <c r="F29" s="1144">
        <v>746292</v>
      </c>
      <c r="G29" s="1145">
        <f>F29-E29</f>
        <v>6195.640000000014</v>
      </c>
      <c r="H29" s="1143">
        <f>E29+G29</f>
        <v>746292</v>
      </c>
      <c r="I29" s="62"/>
      <c r="J29" s="64"/>
      <c r="K29" s="281"/>
      <c r="L29" s="58"/>
      <c r="M29" s="47"/>
    </row>
    <row r="30" spans="2:13">
      <c r="B30" s="1141" t="str">
        <f>B20</f>
        <v>Spring 2018 Projected</v>
      </c>
      <c r="C30" s="1142">
        <f>+H20</f>
        <v>280</v>
      </c>
      <c r="D30" s="1142">
        <f>I10</f>
        <v>681208.24</v>
      </c>
      <c r="E30" s="1143">
        <f>SUM(C30:D30)</f>
        <v>681488.24</v>
      </c>
      <c r="F30" s="1144">
        <v>687229</v>
      </c>
      <c r="G30" s="1145">
        <f>F30-E30</f>
        <v>5740.7600000000093</v>
      </c>
      <c r="H30" s="1143">
        <f>E30+G30</f>
        <v>687229</v>
      </c>
      <c r="I30" s="62"/>
      <c r="J30" s="64"/>
      <c r="K30" s="281"/>
      <c r="L30" s="58"/>
      <c r="M30" s="47"/>
    </row>
    <row r="31" spans="2:13">
      <c r="B31" s="1146"/>
      <c r="C31" s="1147"/>
      <c r="D31" s="1147"/>
      <c r="E31" s="1148"/>
      <c r="F31" s="1147"/>
      <c r="G31" s="1149"/>
      <c r="H31" s="1148"/>
      <c r="I31" s="66"/>
      <c r="J31" s="66"/>
      <c r="K31" s="281"/>
      <c r="L31" s="58"/>
      <c r="M31" s="47"/>
    </row>
    <row r="32" spans="2:13" ht="13.15" thickBot="1">
      <c r="B32" s="1150" t="str">
        <f>B22</f>
        <v>Projected FY</v>
      </c>
      <c r="C32" s="1151">
        <f>+SUM(C28:C30)</f>
        <v>588</v>
      </c>
      <c r="D32" s="1151">
        <f>+SUM(D28:D30)</f>
        <v>1427878.3199999998</v>
      </c>
      <c r="E32" s="1152">
        <f>SUM(E28:E30)</f>
        <v>1428466.3199999998</v>
      </c>
      <c r="F32" s="1151">
        <f>SUM(F28:F30)</f>
        <v>1439947</v>
      </c>
      <c r="G32" s="1153">
        <f>SUM(G28:G30)</f>
        <v>11480.680000000022</v>
      </c>
      <c r="H32" s="1152">
        <f>SUM(H28:H30)</f>
        <v>1439947</v>
      </c>
      <c r="I32" s="66"/>
      <c r="J32" s="66"/>
      <c r="K32" s="66"/>
      <c r="L32" s="68"/>
      <c r="M32" s="128"/>
    </row>
    <row r="33" spans="2:17">
      <c r="B33" s="60"/>
      <c r="D33" s="84"/>
      <c r="E33" s="75"/>
      <c r="G33" s="61"/>
      <c r="H33" s="248"/>
      <c r="I33" s="248"/>
      <c r="J33" s="61"/>
      <c r="L33" s="58"/>
      <c r="M33" s="47"/>
    </row>
    <row r="34" spans="2:17" ht="13.15" thickBot="1">
      <c r="C34" s="102"/>
      <c r="D34" s="105"/>
      <c r="E34" s="105"/>
      <c r="F34" s="91"/>
      <c r="G34" s="91"/>
      <c r="H34" s="91"/>
    </row>
    <row r="35" spans="2:17" ht="15">
      <c r="C35" s="102"/>
      <c r="D35" s="103"/>
      <c r="E35" s="104"/>
      <c r="F35" s="395" t="s">
        <v>9</v>
      </c>
      <c r="G35" s="396" t="s">
        <v>29</v>
      </c>
      <c r="H35" s="400" t="s">
        <v>31</v>
      </c>
      <c r="L35" s="100"/>
      <c r="M35" s="100"/>
      <c r="N35" s="88"/>
      <c r="O35" s="88"/>
    </row>
    <row r="36" spans="2:17" ht="15">
      <c r="C36" s="102"/>
      <c r="D36" s="103"/>
      <c r="E36" s="745"/>
      <c r="F36" s="367" t="s">
        <v>14</v>
      </c>
      <c r="G36" s="397" t="s">
        <v>12</v>
      </c>
      <c r="H36" s="401" t="s">
        <v>34</v>
      </c>
      <c r="L36" s="86"/>
      <c r="M36" s="86"/>
      <c r="N36" s="88"/>
      <c r="O36" s="88"/>
    </row>
    <row r="37" spans="2:17">
      <c r="C37" s="102"/>
      <c r="D37" s="103"/>
      <c r="E37" s="103"/>
      <c r="F37" s="389" t="s">
        <v>36</v>
      </c>
      <c r="G37" s="398" t="s">
        <v>45</v>
      </c>
      <c r="H37" s="389" t="s">
        <v>38</v>
      </c>
      <c r="L37" s="86"/>
      <c r="M37" s="86"/>
      <c r="N37" s="88"/>
      <c r="O37" s="88"/>
    </row>
    <row r="38" spans="2:17" ht="13.15" thickBot="1">
      <c r="B38" s="809"/>
      <c r="C38" s="102"/>
      <c r="D38" s="103"/>
      <c r="E38" s="91"/>
      <c r="F38" s="389"/>
      <c r="G38" s="398"/>
      <c r="H38" s="389"/>
      <c r="L38" s="86"/>
      <c r="M38" s="86"/>
      <c r="N38" s="88"/>
      <c r="O38" s="88"/>
    </row>
    <row r="39" spans="2:17" ht="17.649999999999999" thickBot="1">
      <c r="B39" s="809"/>
      <c r="C39" s="1207"/>
      <c r="D39" s="1208"/>
      <c r="E39" s="1209" t="s">
        <v>123</v>
      </c>
      <c r="F39" s="1170">
        <v>0</v>
      </c>
      <c r="G39" s="1214"/>
      <c r="H39" s="1213"/>
      <c r="L39" s="86"/>
      <c r="M39" s="86"/>
      <c r="N39" s="88"/>
      <c r="O39" s="88"/>
    </row>
    <row r="40" spans="2:17" ht="17.25">
      <c r="B40" s="1154"/>
      <c r="C40" s="904" t="s">
        <v>124</v>
      </c>
      <c r="D40" s="983"/>
      <c r="E40" s="984" t="s">
        <v>125</v>
      </c>
      <c r="F40" s="1158"/>
      <c r="G40" s="1010"/>
      <c r="H40" s="1212" t="s">
        <v>126</v>
      </c>
      <c r="I40" s="1155"/>
      <c r="J40" s="1156" t="s">
        <v>127</v>
      </c>
      <c r="K40" s="1157"/>
      <c r="L40" s="1025"/>
      <c r="M40" s="1025"/>
      <c r="N40" s="991" t="s">
        <v>128</v>
      </c>
      <c r="O40" s="1077"/>
      <c r="P40" s="1078"/>
    </row>
    <row r="41" spans="2:17" ht="17.25">
      <c r="B41" s="1205"/>
      <c r="C41" s="906" t="s">
        <v>70</v>
      </c>
      <c r="D41" s="993">
        <v>28000</v>
      </c>
      <c r="E41" s="994"/>
      <c r="F41" s="1414">
        <f>(G9*F39)+G9</f>
        <v>26.88</v>
      </c>
      <c r="G41" s="1010">
        <f>+D41*F41</f>
        <v>752640</v>
      </c>
      <c r="H41" s="1449">
        <f>G41+G42</f>
        <v>1451260</v>
      </c>
      <c r="I41" s="1159"/>
      <c r="J41" s="1446">
        <f>F41+F42</f>
        <v>53.75</v>
      </c>
      <c r="K41" s="998"/>
      <c r="L41" s="990"/>
      <c r="M41" s="990"/>
      <c r="N41" s="995"/>
      <c r="O41" s="1077"/>
      <c r="P41" s="37"/>
    </row>
    <row r="42" spans="2:17" ht="17.649999999999999" thickBot="1">
      <c r="B42" s="1205"/>
      <c r="C42" s="906" t="s">
        <v>72</v>
      </c>
      <c r="D42" s="993">
        <v>26000</v>
      </c>
      <c r="E42" s="994"/>
      <c r="F42" s="1414">
        <f>(G10*F39)+G10</f>
        <v>26.87</v>
      </c>
      <c r="G42" s="1010">
        <f>+D42*F42</f>
        <v>698620</v>
      </c>
      <c r="H42" s="1450"/>
      <c r="I42" s="1159"/>
      <c r="J42" s="1447"/>
      <c r="K42" s="998"/>
      <c r="L42" s="997"/>
      <c r="M42" s="998"/>
      <c r="N42" s="995">
        <f>J41-53.75</f>
        <v>0</v>
      </c>
      <c r="O42" s="1077"/>
      <c r="P42" s="1079"/>
    </row>
    <row r="43" spans="2:17" ht="3.75" customHeight="1" thickBot="1">
      <c r="B43" s="1160"/>
      <c r="C43" s="908"/>
      <c r="D43" s="1015"/>
      <c r="E43" s="1016"/>
      <c r="F43" s="1002"/>
      <c r="G43" s="1018"/>
      <c r="H43" s="1018"/>
      <c r="I43" s="1161"/>
      <c r="J43" s="1162"/>
      <c r="K43" s="1162"/>
      <c r="L43" s="1163"/>
      <c r="M43" s="1162"/>
      <c r="N43" s="1164"/>
      <c r="O43" s="1012"/>
      <c r="P43" s="37"/>
    </row>
    <row r="44" spans="2:17" ht="18" customHeight="1" thickBot="1">
      <c r="B44" s="170"/>
      <c r="C44" s="1165"/>
      <c r="D44" s="1166"/>
      <c r="E44" s="1167"/>
      <c r="F44" s="990"/>
      <c r="G44" s="1203" t="s">
        <v>118</v>
      </c>
      <c r="H44" s="1204">
        <f>H41</f>
        <v>1451260</v>
      </c>
      <c r="I44" s="1159"/>
      <c r="J44" s="998"/>
      <c r="K44" s="998"/>
      <c r="L44" s="997"/>
      <c r="M44" s="998"/>
      <c r="N44" s="1169"/>
      <c r="O44" s="1012"/>
      <c r="P44" s="37"/>
    </row>
    <row r="45" spans="2:17" ht="18" customHeight="1" thickBot="1">
      <c r="B45" s="170"/>
      <c r="C45" s="1165"/>
      <c r="D45" s="1166"/>
      <c r="E45" s="1167"/>
      <c r="F45" s="990"/>
      <c r="G45" s="1168"/>
      <c r="H45" s="1010"/>
      <c r="I45" s="1159"/>
      <c r="J45" s="998"/>
      <c r="K45" s="998"/>
      <c r="L45" s="997"/>
      <c r="M45" s="998"/>
      <c r="N45" s="1169"/>
      <c r="O45" s="1012"/>
      <c r="P45" s="37"/>
    </row>
    <row r="46" spans="2:17" ht="18" customHeight="1" thickBot="1">
      <c r="B46" s="170"/>
      <c r="C46" s="1207"/>
      <c r="D46" s="1208"/>
      <c r="E46" s="1209" t="s">
        <v>123</v>
      </c>
      <c r="F46" s="1170">
        <v>1.7999999999999999E-2</v>
      </c>
      <c r="G46" s="1010"/>
      <c r="H46" s="1010"/>
      <c r="I46" s="1159"/>
      <c r="J46" s="998"/>
      <c r="K46" s="998"/>
      <c r="L46" s="997"/>
      <c r="M46" s="998"/>
      <c r="N46" s="1169"/>
      <c r="O46" s="1012"/>
      <c r="P46" s="37"/>
    </row>
    <row r="47" spans="2:17" ht="17.649999999999999">
      <c r="B47" s="172"/>
      <c r="C47" s="906" t="s">
        <v>129</v>
      </c>
      <c r="D47" s="993"/>
      <c r="E47" s="1206"/>
      <c r="F47" s="1171"/>
      <c r="G47" s="1005"/>
      <c r="H47" s="1202" t="s">
        <v>131</v>
      </c>
      <c r="I47" s="1006"/>
      <c r="J47" s="1156" t="s">
        <v>127</v>
      </c>
      <c r="K47" s="1157"/>
      <c r="L47" s="1172"/>
      <c r="M47" s="1173"/>
      <c r="N47" s="991" t="s">
        <v>128</v>
      </c>
      <c r="O47" s="1077"/>
      <c r="P47" s="1078"/>
    </row>
    <row r="48" spans="2:17" ht="17.25">
      <c r="B48" s="172"/>
      <c r="C48" s="906" t="s">
        <v>70</v>
      </c>
      <c r="D48" s="993">
        <f>(D41*0)+D41</f>
        <v>28000</v>
      </c>
      <c r="E48" s="1009"/>
      <c r="F48" s="1004">
        <f>(F41*F46)+F41</f>
        <v>27.36384</v>
      </c>
      <c r="G48" s="1010">
        <f>+D48*F48</f>
        <v>766187.52000000002</v>
      </c>
      <c r="H48" s="1449">
        <f>G48+G49</f>
        <v>1477382.6800000002</v>
      </c>
      <c r="I48" s="1011"/>
      <c r="J48" s="1446">
        <f>F48+F49</f>
        <v>54.717500000000001</v>
      </c>
      <c r="K48" s="998"/>
      <c r="L48" s="1167"/>
      <c r="M48" s="998"/>
      <c r="N48" s="995"/>
      <c r="O48" s="1077"/>
      <c r="P48" s="1079"/>
      <c r="Q48" s="121"/>
    </row>
    <row r="49" spans="2:17" s="53" customFormat="1" ht="17.649999999999999" thickBot="1">
      <c r="B49" s="172"/>
      <c r="C49" s="906" t="s">
        <v>72</v>
      </c>
      <c r="D49" s="993">
        <f>(D42*0)+D42</f>
        <v>26000</v>
      </c>
      <c r="E49" s="994"/>
      <c r="F49" s="1004">
        <f>(F42*F46)+F42</f>
        <v>27.353660000000001</v>
      </c>
      <c r="G49" s="1010">
        <f>+D49*F49</f>
        <v>711195.16</v>
      </c>
      <c r="H49" s="1450"/>
      <c r="I49" s="1011"/>
      <c r="J49" s="1447"/>
      <c r="K49" s="998"/>
      <c r="L49" s="1174"/>
      <c r="M49" s="1174"/>
      <c r="N49" s="995">
        <f>J48-J41</f>
        <v>0.96750000000000114</v>
      </c>
      <c r="O49" s="1077"/>
      <c r="P49" s="1079"/>
    </row>
    <row r="50" spans="2:17" ht="4.5" customHeight="1" thickBot="1">
      <c r="B50" s="172"/>
      <c r="C50" s="908"/>
      <c r="D50" s="1015"/>
      <c r="E50" s="1016"/>
      <c r="F50" s="1175"/>
      <c r="G50" s="1162"/>
      <c r="H50" s="1162"/>
      <c r="I50" s="1161"/>
      <c r="J50" s="1162"/>
      <c r="K50" s="1162"/>
      <c r="L50" s="1176"/>
      <c r="M50" s="1162"/>
      <c r="N50" s="1164"/>
      <c r="O50" s="1012"/>
      <c r="P50" s="37"/>
    </row>
    <row r="51" spans="2:17" ht="21" customHeight="1" thickBot="1">
      <c r="B51" s="170"/>
      <c r="C51" s="1165"/>
      <c r="D51" s="1166"/>
      <c r="E51" s="1167"/>
      <c r="F51" s="1177"/>
      <c r="G51" s="1203" t="s">
        <v>118</v>
      </c>
      <c r="H51" s="1204">
        <f>H48</f>
        <v>1477382.6800000002</v>
      </c>
      <c r="I51" s="1159"/>
      <c r="J51" s="998"/>
      <c r="K51" s="998"/>
      <c r="L51" s="1167"/>
      <c r="M51" s="998"/>
      <c r="N51" s="1169"/>
      <c r="O51" s="1012"/>
      <c r="P51" s="37"/>
    </row>
    <row r="52" spans="2:17" ht="21" customHeight="1" thickBot="1">
      <c r="B52" s="170"/>
      <c r="C52" s="1165"/>
      <c r="D52" s="1166"/>
      <c r="E52" s="1167"/>
      <c r="F52" s="1177"/>
      <c r="G52" s="1168"/>
      <c r="H52" s="1010"/>
      <c r="I52" s="1159"/>
      <c r="J52" s="998"/>
      <c r="K52" s="998"/>
      <c r="L52" s="1167"/>
      <c r="M52" s="998"/>
      <c r="N52" s="1169"/>
      <c r="O52" s="1012"/>
      <c r="P52" s="37"/>
    </row>
    <row r="53" spans="2:17" ht="21" customHeight="1" thickBot="1">
      <c r="B53" s="170"/>
      <c r="C53" s="1207"/>
      <c r="D53" s="1208"/>
      <c r="E53" s="1209" t="s">
        <v>123</v>
      </c>
      <c r="F53" s="1170">
        <v>1.7999999999999999E-2</v>
      </c>
      <c r="G53" s="998"/>
      <c r="H53" s="998"/>
      <c r="I53" s="1159"/>
      <c r="J53" s="998"/>
      <c r="K53" s="998"/>
      <c r="L53" s="1167"/>
      <c r="M53" s="998"/>
      <c r="N53" s="1169"/>
      <c r="O53" s="1012"/>
      <c r="P53" s="37"/>
    </row>
    <row r="54" spans="2:17" ht="17.25">
      <c r="B54" s="172"/>
      <c r="C54" s="906" t="s">
        <v>132</v>
      </c>
      <c r="D54" s="993"/>
      <c r="E54" s="1206"/>
      <c r="F54" s="1178"/>
      <c r="G54" s="1005"/>
      <c r="H54" s="1202" t="s">
        <v>133</v>
      </c>
      <c r="I54" s="1006"/>
      <c r="J54" s="1156" t="s">
        <v>127</v>
      </c>
      <c r="K54" s="1157"/>
      <c r="L54" s="1179"/>
      <c r="M54" s="1157"/>
      <c r="N54" s="991" t="s">
        <v>128</v>
      </c>
      <c r="O54" s="1080"/>
      <c r="P54" s="1082"/>
    </row>
    <row r="55" spans="2:17" ht="17.25">
      <c r="B55" s="172"/>
      <c r="C55" s="906" t="s">
        <v>70</v>
      </c>
      <c r="D55" s="993">
        <f>(D48*0)+D48</f>
        <v>28000</v>
      </c>
      <c r="E55" s="1009"/>
      <c r="F55" s="1021">
        <f>(F48*F53)+F48</f>
        <v>27.856389119999999</v>
      </c>
      <c r="G55" s="1010">
        <f>+D55*F55</f>
        <v>779978.89535999997</v>
      </c>
      <c r="H55" s="1449">
        <f>G55+G56</f>
        <v>1503975.5682399999</v>
      </c>
      <c r="I55" s="1011"/>
      <c r="J55" s="1446">
        <f>F55+F56</f>
        <v>55.702415000000002</v>
      </c>
      <c r="K55" s="998"/>
      <c r="L55" s="1167"/>
      <c r="M55" s="998"/>
      <c r="N55" s="995"/>
      <c r="O55" s="1077"/>
      <c r="P55" s="1079"/>
      <c r="Q55" s="121"/>
    </row>
    <row r="56" spans="2:17" ht="17.649999999999999" thickBot="1">
      <c r="B56" s="172"/>
      <c r="C56" s="906" t="s">
        <v>72</v>
      </c>
      <c r="D56" s="993">
        <f>(D49*0)+D49</f>
        <v>26000</v>
      </c>
      <c r="E56" s="994"/>
      <c r="F56" s="1021">
        <f>(F49*F53)+F49</f>
        <v>27.846025880000003</v>
      </c>
      <c r="G56" s="1010">
        <f>+D56*F56</f>
        <v>723996.67288000009</v>
      </c>
      <c r="H56" s="1450"/>
      <c r="I56" s="1011"/>
      <c r="J56" s="1447"/>
      <c r="K56" s="998"/>
      <c r="L56" s="1167"/>
      <c r="M56" s="998"/>
      <c r="N56" s="995">
        <f>J55-J48</f>
        <v>0.98491500000000087</v>
      </c>
      <c r="O56" s="1077"/>
      <c r="P56" s="1079"/>
      <c r="Q56" s="53"/>
    </row>
    <row r="57" spans="2:17" ht="5.25" customHeight="1" thickBot="1">
      <c r="B57" s="172"/>
      <c r="C57" s="908"/>
      <c r="D57" s="1015"/>
      <c r="E57" s="1016"/>
      <c r="F57" s="1180"/>
      <c r="G57" s="1162"/>
      <c r="H57" s="1162"/>
      <c r="I57" s="1161"/>
      <c r="J57" s="1162"/>
      <c r="K57" s="1162"/>
      <c r="L57" s="1176"/>
      <c r="M57" s="1162"/>
      <c r="N57" s="1164"/>
      <c r="O57" s="1012"/>
      <c r="P57" s="37"/>
    </row>
    <row r="58" spans="2:17" ht="18.75" customHeight="1" thickBot="1">
      <c r="B58" s="172"/>
      <c r="C58" s="1165"/>
      <c r="D58" s="1166"/>
      <c r="E58" s="1167"/>
      <c r="F58" s="1177"/>
      <c r="G58" s="1203" t="s">
        <v>118</v>
      </c>
      <c r="H58" s="1204">
        <f>H55</f>
        <v>1503975.5682399999</v>
      </c>
      <c r="I58" s="1159"/>
      <c r="J58" s="998"/>
      <c r="K58" s="998"/>
      <c r="L58" s="1167"/>
      <c r="M58" s="998"/>
      <c r="N58" s="998"/>
      <c r="O58" s="1012"/>
      <c r="P58" s="37"/>
    </row>
    <row r="59" spans="2:17" ht="18.75" customHeight="1" thickBot="1">
      <c r="B59" s="172"/>
      <c r="C59" s="1165"/>
      <c r="D59" s="1166"/>
      <c r="E59" s="1167"/>
      <c r="F59" s="1177"/>
      <c r="G59" s="1168"/>
      <c r="H59" s="1010"/>
      <c r="I59" s="1159"/>
      <c r="J59" s="998"/>
      <c r="K59" s="998"/>
      <c r="L59" s="1167"/>
      <c r="M59" s="998"/>
      <c r="N59" s="998"/>
      <c r="O59" s="1012"/>
      <c r="P59" s="37"/>
    </row>
    <row r="60" spans="2:17" ht="18.75" customHeight="1" thickBot="1">
      <c r="B60" s="172"/>
      <c r="C60" s="1207"/>
      <c r="D60" s="1208"/>
      <c r="E60" s="1209" t="s">
        <v>123</v>
      </c>
      <c r="F60" s="1170">
        <v>1.7999999999999999E-2</v>
      </c>
      <c r="G60" s="998"/>
      <c r="H60" s="998"/>
      <c r="I60" s="1159"/>
      <c r="J60" s="998"/>
      <c r="K60" s="998"/>
      <c r="L60" s="1167"/>
      <c r="M60" s="998"/>
      <c r="N60" s="998"/>
      <c r="O60" s="1012"/>
      <c r="P60" s="37"/>
    </row>
    <row r="61" spans="2:17" ht="17.25">
      <c r="B61" s="172"/>
      <c r="C61" s="904" t="s">
        <v>134</v>
      </c>
      <c r="D61" s="983"/>
      <c r="E61" s="1003"/>
      <c r="F61" s="1040"/>
      <c r="G61" s="1005"/>
      <c r="H61" s="1202" t="s">
        <v>133</v>
      </c>
      <c r="I61" s="1006"/>
      <c r="J61" s="1156" t="s">
        <v>127</v>
      </c>
      <c r="K61" s="1157"/>
      <c r="L61" s="1179"/>
      <c r="M61" s="1157"/>
      <c r="N61" s="991" t="s">
        <v>128</v>
      </c>
      <c r="O61" s="1080"/>
      <c r="P61" s="37"/>
    </row>
    <row r="62" spans="2:17" ht="17.25">
      <c r="B62" s="172"/>
      <c r="C62" s="906" t="s">
        <v>70</v>
      </c>
      <c r="D62" s="993">
        <f>(D55*0)+D55</f>
        <v>28000</v>
      </c>
      <c r="E62" s="1009"/>
      <c r="F62" s="1041">
        <f>(F55*F60)+F55</f>
        <v>28.357804124159998</v>
      </c>
      <c r="G62" s="1010">
        <f>+D62*F62</f>
        <v>794018.51547647989</v>
      </c>
      <c r="H62" s="1449">
        <f>G62+G63</f>
        <v>1531047.12846832</v>
      </c>
      <c r="I62" s="1011"/>
      <c r="J62" s="1446">
        <f>F62+F63</f>
        <v>56.705058469999997</v>
      </c>
      <c r="K62" s="998"/>
      <c r="L62" s="1167"/>
      <c r="M62" s="998"/>
      <c r="N62" s="995"/>
      <c r="O62" s="1077"/>
      <c r="P62" s="1081"/>
    </row>
    <row r="63" spans="2:17" ht="17.649999999999999" thickBot="1">
      <c r="B63" s="172"/>
      <c r="C63" s="908" t="s">
        <v>72</v>
      </c>
      <c r="D63" s="1015">
        <f>(D56*0)+D56</f>
        <v>26000</v>
      </c>
      <c r="E63" s="1016"/>
      <c r="F63" s="1042">
        <f>(F56*F60)+F56</f>
        <v>28.347254345840003</v>
      </c>
      <c r="G63" s="1018">
        <f>+D63*F63</f>
        <v>737028.61299184011</v>
      </c>
      <c r="H63" s="1450"/>
      <c r="I63" s="1181"/>
      <c r="J63" s="1448"/>
      <c r="K63" s="1162"/>
      <c r="L63" s="1176"/>
      <c r="M63" s="1162"/>
      <c r="N63" s="1182">
        <f>J62-J55</f>
        <v>1.0026434699999953</v>
      </c>
      <c r="O63" s="1077"/>
      <c r="P63" s="1079"/>
    </row>
    <row r="64" spans="2:17" ht="17.649999999999999" thickBot="1">
      <c r="G64" s="1203" t="s">
        <v>118</v>
      </c>
      <c r="H64" s="1204">
        <f>H62</f>
        <v>1531047.12846832</v>
      </c>
      <c r="L64" s="108"/>
      <c r="M64" s="75"/>
    </row>
    <row r="65" spans="12:12">
      <c r="L65"/>
    </row>
    <row r="66" spans="12:12">
      <c r="L66"/>
    </row>
    <row r="67" spans="12:12">
      <c r="L67"/>
    </row>
    <row r="68" spans="12:12">
      <c r="L68"/>
    </row>
    <row r="69" spans="12:12">
      <c r="L69"/>
    </row>
    <row r="70" spans="12:12">
      <c r="L70"/>
    </row>
    <row r="71" spans="12:12">
      <c r="L71"/>
    </row>
    <row r="72" spans="12:12">
      <c r="L72"/>
    </row>
    <row r="73" spans="12:12">
      <c r="L73"/>
    </row>
    <row r="74" spans="12:12">
      <c r="L74"/>
    </row>
    <row r="75" spans="12:12">
      <c r="L75"/>
    </row>
    <row r="76" spans="12:12">
      <c r="L76"/>
    </row>
    <row r="77" spans="12:12">
      <c r="L77"/>
    </row>
    <row r="78" spans="12:12">
      <c r="L78"/>
    </row>
  </sheetData>
  <mergeCells count="8">
    <mergeCell ref="J41:J42"/>
    <mergeCell ref="J48:J49"/>
    <mergeCell ref="J55:J56"/>
    <mergeCell ref="J62:J63"/>
    <mergeCell ref="H41:H42"/>
    <mergeCell ref="H48:H49"/>
    <mergeCell ref="H55:H56"/>
    <mergeCell ref="H62:H63"/>
  </mergeCells>
  <pageMargins left="0.7" right="0.7" top="0.75" bottom="0.75" header="0.3" footer="0.3"/>
  <pageSetup paperSize="3" scale="6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B1:IL83"/>
  <sheetViews>
    <sheetView topLeftCell="D1" workbookViewId="0">
      <selection activeCell="I17" sqref="I17"/>
    </sheetView>
  </sheetViews>
  <sheetFormatPr defaultColWidth="8.86328125" defaultRowHeight="12.75"/>
  <cols>
    <col min="1" max="1" width="4.73046875" customWidth="1"/>
    <col min="2" max="2" width="65.3984375" customWidth="1"/>
    <col min="3" max="3" width="21.86328125" style="279" customWidth="1"/>
    <col min="4" max="7" width="24" style="126" customWidth="1"/>
  </cols>
  <sheetData>
    <row r="1" spans="2:246" ht="27.75">
      <c r="B1" s="364" t="str">
        <f>'Cover Sheet'!G17</f>
        <v>2018-19 Referendum Budget</v>
      </c>
      <c r="C1" s="584"/>
      <c r="D1" s="383"/>
      <c r="E1" s="383"/>
      <c r="F1" s="383"/>
      <c r="G1" s="383"/>
    </row>
    <row r="2" spans="2:246" ht="27.75">
      <c r="B2" s="40" t="s">
        <v>135</v>
      </c>
      <c r="C2" s="362" t="str">
        <f>Administration!C2</f>
        <v>2016-17</v>
      </c>
      <c r="D2" s="385" t="s">
        <v>136</v>
      </c>
      <c r="E2" s="813" t="s">
        <v>137</v>
      </c>
      <c r="F2" s="815" t="s">
        <v>138</v>
      </c>
      <c r="G2" s="817" t="s">
        <v>139</v>
      </c>
    </row>
    <row r="3" spans="2:246" ht="30.4" thickBot="1">
      <c r="B3" s="297" t="s">
        <v>10</v>
      </c>
      <c r="C3" s="363" t="s">
        <v>140</v>
      </c>
      <c r="D3" s="812" t="str">
        <f>Administration!E3</f>
        <v>Approved Operating Budget</v>
      </c>
      <c r="E3" s="814" t="s">
        <v>141</v>
      </c>
      <c r="F3" s="816" t="s">
        <v>141</v>
      </c>
      <c r="G3" s="818" t="s">
        <v>141</v>
      </c>
    </row>
    <row r="4" spans="2:246" ht="21" customHeight="1">
      <c r="B4" s="187"/>
      <c r="C4" s="953" t="s">
        <v>142</v>
      </c>
      <c r="D4" s="954" t="s">
        <v>142</v>
      </c>
      <c r="E4" s="955">
        <v>21</v>
      </c>
      <c r="F4" s="956">
        <v>23</v>
      </c>
      <c r="G4" s="957">
        <v>25</v>
      </c>
    </row>
    <row r="5" spans="2:246" ht="18.75" customHeight="1" thickBot="1">
      <c r="B5" s="187"/>
      <c r="C5" s="958" t="s">
        <v>143</v>
      </c>
      <c r="D5" s="959" t="s">
        <v>143</v>
      </c>
      <c r="E5" s="960" t="s">
        <v>144</v>
      </c>
      <c r="F5" s="961" t="s">
        <v>145</v>
      </c>
      <c r="G5" s="962" t="s">
        <v>146</v>
      </c>
    </row>
    <row r="6" spans="2:246" ht="15.4" thickBot="1">
      <c r="B6" s="930" t="s">
        <v>67</v>
      </c>
      <c r="C6" s="931"/>
      <c r="D6" s="932"/>
      <c r="E6" s="932"/>
      <c r="F6" s="932"/>
      <c r="G6" s="981"/>
    </row>
    <row r="7" spans="2:246" ht="15">
      <c r="B7" s="933" t="s">
        <v>68</v>
      </c>
      <c r="C7" s="934">
        <v>0</v>
      </c>
      <c r="D7" s="935">
        <v>0</v>
      </c>
      <c r="E7" s="935">
        <v>0</v>
      </c>
      <c r="F7" s="935">
        <v>0</v>
      </c>
      <c r="G7" s="935">
        <v>0</v>
      </c>
    </row>
    <row r="8" spans="2:246" ht="15">
      <c r="B8" s="933" t="s">
        <v>70</v>
      </c>
      <c r="C8" s="934">
        <v>0</v>
      </c>
      <c r="D8" s="936">
        <v>0</v>
      </c>
      <c r="E8" s="936">
        <v>0</v>
      </c>
      <c r="F8" s="936">
        <v>0</v>
      </c>
      <c r="G8" s="936">
        <v>0</v>
      </c>
    </row>
    <row r="9" spans="2:246" ht="15">
      <c r="B9" s="933" t="s">
        <v>71</v>
      </c>
      <c r="C9" s="934">
        <v>0</v>
      </c>
      <c r="D9" s="936">
        <v>0</v>
      </c>
      <c r="E9" s="936">
        <v>0</v>
      </c>
      <c r="F9" s="936">
        <v>0</v>
      </c>
      <c r="G9" s="936">
        <v>0</v>
      </c>
    </row>
    <row r="10" spans="2:246" ht="15">
      <c r="B10" s="933" t="s">
        <v>72</v>
      </c>
      <c r="C10" s="934">
        <v>0</v>
      </c>
      <c r="D10" s="936">
        <v>0</v>
      </c>
      <c r="E10" s="936">
        <v>0</v>
      </c>
      <c r="F10" s="936">
        <v>0</v>
      </c>
      <c r="G10" s="936">
        <v>0</v>
      </c>
    </row>
    <row r="11" spans="2:246" ht="15.4">
      <c r="B11" s="937" t="s">
        <v>147</v>
      </c>
      <c r="C11" s="934"/>
      <c r="D11" s="936"/>
      <c r="E11" s="936"/>
      <c r="F11" s="936"/>
      <c r="G11" s="936"/>
      <c r="J11" s="925"/>
    </row>
    <row r="12" spans="2:246" ht="15">
      <c r="B12" s="938" t="s">
        <v>74</v>
      </c>
      <c r="C12" s="939">
        <f>'[3]REV&amp;EXP'!$H$44</f>
        <v>1157286.32</v>
      </c>
      <c r="D12" s="940">
        <f>'[4]Revenue &amp; Investments'!$G$11</f>
        <v>1295941.0209999999</v>
      </c>
      <c r="E12" s="940">
        <f>'2014 Student Rev Project $21'!I62</f>
        <v>1340997</v>
      </c>
      <c r="F12" s="940">
        <f>'2014 Student Rev Project $21'!I67</f>
        <v>1483398.11</v>
      </c>
      <c r="G12" s="940">
        <f>'2014 Student Rev Project $21'!I72</f>
        <v>1628513.1425000001</v>
      </c>
      <c r="J12" s="925"/>
    </row>
    <row r="13" spans="2:246" ht="15">
      <c r="B13" s="941"/>
      <c r="C13" s="942"/>
      <c r="D13" s="936"/>
      <c r="E13" s="936"/>
      <c r="F13" s="936"/>
      <c r="G13" s="936"/>
      <c r="J13" s="925"/>
    </row>
    <row r="14" spans="2:246" ht="15">
      <c r="B14" s="930" t="s">
        <v>75</v>
      </c>
      <c r="C14" s="943"/>
      <c r="D14" s="936"/>
      <c r="E14" s="936"/>
      <c r="F14" s="936"/>
      <c r="G14" s="936"/>
    </row>
    <row r="15" spans="2:246" ht="15">
      <c r="B15" s="944" t="str">
        <f>'Student &amp; University Support'!B6</f>
        <v>Interest Income, Los Angeles Investment Fund (L.A.I.F.), &amp; Unrealized Gain/Loss</v>
      </c>
      <c r="C15" s="942">
        <f>'[3]REV&amp;EXP'!$H$81+'[3]REV&amp;EXP'!$H$82</f>
        <v>7044.96</v>
      </c>
      <c r="D15" s="936">
        <f>'[5]Revenue &amp; Investments'!$G$14</f>
        <v>5000</v>
      </c>
      <c r="E15" s="936">
        <f>(D15*0.02)+D15</f>
        <v>5100</v>
      </c>
      <c r="F15" s="936">
        <f>(E15*0.02)+E15</f>
        <v>5202</v>
      </c>
      <c r="G15" s="945">
        <f>(F15*0.02)+F15</f>
        <v>5306.04</v>
      </c>
    </row>
    <row r="16" spans="2:246" s="88" customFormat="1" ht="15">
      <c r="B16" s="944" t="s">
        <v>148</v>
      </c>
      <c r="C16" s="942">
        <f>'[3]REV&amp;EXP'!$I$89</f>
        <v>8618.11</v>
      </c>
      <c r="D16" s="946">
        <f>'Student &amp; University Support'!E15-'Student &amp; University Support'!E6</f>
        <v>18850</v>
      </c>
      <c r="E16" s="936">
        <f>D16</f>
        <v>18850</v>
      </c>
      <c r="F16" s="946">
        <f>E16</f>
        <v>18850</v>
      </c>
      <c r="G16" s="946">
        <f>F16</f>
        <v>18850</v>
      </c>
      <c r="I16" s="136"/>
      <c r="J16" s="234"/>
      <c r="K16" s="235"/>
      <c r="L16" s="127"/>
      <c r="M16" s="235"/>
      <c r="N16" s="235"/>
      <c r="O16" s="276"/>
      <c r="Q16" s="136"/>
      <c r="R16" s="234"/>
      <c r="S16" s="235"/>
      <c r="T16" s="127"/>
      <c r="U16" s="235"/>
      <c r="V16" s="235"/>
      <c r="W16" s="276"/>
      <c r="Y16" s="136"/>
      <c r="Z16" s="234"/>
      <c r="AA16" s="235"/>
      <c r="AB16" s="127"/>
      <c r="AC16" s="235"/>
      <c r="AD16" s="235"/>
      <c r="AE16" s="276"/>
      <c r="AG16" s="136"/>
      <c r="AH16" s="234"/>
      <c r="AI16" s="235"/>
      <c r="AJ16" s="127"/>
      <c r="AK16" s="235"/>
      <c r="AL16" s="235"/>
      <c r="AM16" s="276"/>
      <c r="AO16" s="136"/>
      <c r="AP16" s="234"/>
      <c r="AQ16" s="235"/>
      <c r="AR16" s="127"/>
      <c r="AS16" s="235"/>
      <c r="AT16" s="235"/>
      <c r="AU16" s="276"/>
      <c r="AW16" s="136"/>
      <c r="AX16" s="234"/>
      <c r="AY16" s="235"/>
      <c r="AZ16" s="127"/>
      <c r="BA16" s="235"/>
      <c r="BB16" s="235"/>
      <c r="BC16" s="276"/>
      <c r="BE16" s="136"/>
      <c r="BF16" s="234"/>
      <c r="BG16" s="235"/>
      <c r="BH16" s="127"/>
      <c r="BI16" s="235"/>
      <c r="BJ16" s="235"/>
      <c r="BK16" s="276"/>
      <c r="BM16" s="136"/>
      <c r="BN16" s="234"/>
      <c r="BO16" s="235"/>
      <c r="BP16" s="127"/>
      <c r="BQ16" s="235"/>
      <c r="BR16" s="235"/>
      <c r="BS16" s="276"/>
      <c r="BU16" s="136"/>
      <c r="BV16" s="234"/>
      <c r="BW16" s="235"/>
      <c r="BX16" s="127"/>
      <c r="BY16" s="235"/>
      <c r="BZ16" s="235"/>
      <c r="CA16" s="276"/>
      <c r="CC16" s="136"/>
      <c r="CD16" s="234"/>
      <c r="CE16" s="235"/>
      <c r="CF16" s="127"/>
      <c r="CG16" s="235"/>
      <c r="CH16" s="235"/>
      <c r="CI16" s="276"/>
      <c r="CK16" s="136"/>
      <c r="CL16" s="234"/>
      <c r="CM16" s="235"/>
      <c r="CN16" s="127"/>
      <c r="CO16" s="235"/>
      <c r="CP16" s="235"/>
      <c r="CQ16" s="276"/>
      <c r="CS16" s="136"/>
      <c r="CT16" s="234"/>
      <c r="CU16" s="235"/>
      <c r="CV16" s="127"/>
      <c r="CW16" s="235"/>
      <c r="CX16" s="235"/>
      <c r="CY16" s="276"/>
      <c r="DA16" s="136"/>
      <c r="DB16" s="234"/>
      <c r="DC16" s="235"/>
      <c r="DD16" s="127"/>
      <c r="DE16" s="235"/>
      <c r="DF16" s="235"/>
      <c r="DG16" s="276"/>
      <c r="DI16" s="136"/>
      <c r="DJ16" s="234"/>
      <c r="DK16" s="235"/>
      <c r="DL16" s="127"/>
      <c r="DM16" s="235"/>
      <c r="DN16" s="235"/>
      <c r="DO16" s="276"/>
      <c r="DQ16" s="136"/>
      <c r="DR16" s="234"/>
      <c r="DS16" s="235"/>
      <c r="DT16" s="127"/>
      <c r="DU16" s="235"/>
      <c r="DV16" s="235"/>
      <c r="DW16" s="276"/>
      <c r="DY16" s="136"/>
      <c r="DZ16" s="234"/>
      <c r="EA16" s="235"/>
      <c r="EB16" s="127"/>
      <c r="EC16" s="235"/>
      <c r="ED16" s="235"/>
      <c r="EE16" s="276"/>
      <c r="EG16" s="136"/>
      <c r="EH16" s="234"/>
      <c r="EI16" s="235"/>
      <c r="EJ16" s="127"/>
      <c r="EK16" s="235"/>
      <c r="EL16" s="235"/>
      <c r="EM16" s="276"/>
      <c r="EO16" s="136"/>
      <c r="EP16" s="234"/>
      <c r="EQ16" s="235"/>
      <c r="ER16" s="127"/>
      <c r="ES16" s="235"/>
      <c r="ET16" s="235"/>
      <c r="EU16" s="276"/>
      <c r="EW16" s="136"/>
      <c r="EX16" s="234"/>
      <c r="EY16" s="235"/>
      <c r="EZ16" s="127"/>
      <c r="FA16" s="235"/>
      <c r="FB16" s="235"/>
      <c r="FC16" s="276"/>
      <c r="FE16" s="136"/>
      <c r="FF16" s="234"/>
      <c r="FG16" s="235"/>
      <c r="FH16" s="127"/>
      <c r="FI16" s="235"/>
      <c r="FJ16" s="235"/>
      <c r="FK16" s="276"/>
      <c r="FM16" s="136"/>
      <c r="FN16" s="234"/>
      <c r="FO16" s="235"/>
      <c r="FP16" s="127"/>
      <c r="FQ16" s="235"/>
      <c r="FR16" s="235"/>
      <c r="FS16" s="276"/>
      <c r="FU16" s="136"/>
      <c r="FV16" s="234"/>
      <c r="FW16" s="235"/>
      <c r="FX16" s="127"/>
      <c r="FY16" s="235"/>
      <c r="FZ16" s="235"/>
      <c r="GA16" s="276"/>
      <c r="GC16" s="136"/>
      <c r="GD16" s="234"/>
      <c r="GE16" s="235"/>
      <c r="GF16" s="127"/>
      <c r="GG16" s="235"/>
      <c r="GH16" s="235"/>
      <c r="GI16" s="276"/>
      <c r="GK16" s="136"/>
      <c r="GL16" s="234"/>
      <c r="GM16" s="235"/>
      <c r="GN16" s="127"/>
      <c r="GO16" s="235"/>
      <c r="GP16" s="235"/>
      <c r="GQ16" s="276"/>
      <c r="GS16" s="136"/>
      <c r="GT16" s="234"/>
      <c r="GU16" s="235"/>
      <c r="GV16" s="127"/>
      <c r="GW16" s="235"/>
      <c r="GX16" s="235"/>
      <c r="GY16" s="276"/>
      <c r="HA16" s="136"/>
      <c r="HB16" s="234"/>
      <c r="HC16" s="235"/>
      <c r="HD16" s="127"/>
      <c r="HE16" s="235"/>
      <c r="HF16" s="235"/>
      <c r="HG16" s="276"/>
      <c r="HI16" s="136"/>
      <c r="HJ16" s="234"/>
      <c r="HK16" s="235"/>
      <c r="HL16" s="127"/>
      <c r="HM16" s="235"/>
      <c r="HN16" s="235"/>
      <c r="HO16" s="276"/>
      <c r="HQ16" s="136"/>
      <c r="HR16" s="234"/>
      <c r="HS16" s="235"/>
      <c r="HT16" s="127"/>
      <c r="HU16" s="235"/>
      <c r="HV16" s="235"/>
      <c r="HW16" s="276"/>
      <c r="HY16" s="136"/>
      <c r="HZ16" s="234"/>
      <c r="IA16" s="235"/>
      <c r="IB16" s="127"/>
      <c r="IC16" s="235"/>
      <c r="ID16" s="235"/>
      <c r="IE16" s="276"/>
      <c r="IG16" s="136"/>
      <c r="IH16" s="234"/>
      <c r="II16" s="235"/>
      <c r="IJ16" s="127"/>
      <c r="IK16" s="235"/>
      <c r="IL16" s="235"/>
    </row>
    <row r="17" spans="2:7" ht="15">
      <c r="B17" s="944"/>
      <c r="C17" s="942"/>
      <c r="D17" s="936"/>
      <c r="E17" s="936"/>
      <c r="F17" s="936"/>
      <c r="G17" s="936"/>
    </row>
    <row r="18" spans="2:7" s="79" customFormat="1" ht="15">
      <c r="B18" s="938" t="s">
        <v>78</v>
      </c>
      <c r="C18" s="939">
        <f>SUM(C15:C16)</f>
        <v>15663.07</v>
      </c>
      <c r="D18" s="940">
        <f>+SUM(D15:D16)</f>
        <v>23850</v>
      </c>
      <c r="E18" s="940">
        <f>+SUM(E15:E16)</f>
        <v>23950</v>
      </c>
      <c r="F18" s="940">
        <f>+SUM(F15:F16)</f>
        <v>24052</v>
      </c>
      <c r="G18" s="940">
        <f>+SUM(G15:G16)</f>
        <v>24156.04</v>
      </c>
    </row>
    <row r="19" spans="2:7" ht="15">
      <c r="B19" s="944"/>
      <c r="C19" s="942"/>
      <c r="D19" s="936"/>
      <c r="E19" s="936"/>
      <c r="F19" s="936"/>
      <c r="G19" s="936"/>
    </row>
    <row r="20" spans="2:7" s="79" customFormat="1" ht="15">
      <c r="B20" s="938" t="s">
        <v>79</v>
      </c>
      <c r="C20" s="939">
        <f>C18+C12</f>
        <v>1172949.3900000001</v>
      </c>
      <c r="D20" s="940">
        <f>+D18+D12</f>
        <v>1319791.0209999999</v>
      </c>
      <c r="E20" s="940">
        <f>+E18+E12</f>
        <v>1364947</v>
      </c>
      <c r="F20" s="940">
        <f>+F18+F12</f>
        <v>1507450.11</v>
      </c>
      <c r="G20" s="940">
        <f>+G18+G12</f>
        <v>1652669.1825000001</v>
      </c>
    </row>
    <row r="21" spans="2:7" ht="15">
      <c r="B21" s="944"/>
      <c r="C21" s="942"/>
      <c r="D21" s="936"/>
      <c r="E21" s="936"/>
      <c r="F21" s="936"/>
      <c r="G21" s="936"/>
    </row>
    <row r="22" spans="2:7" ht="15">
      <c r="B22" s="930" t="s">
        <v>83</v>
      </c>
      <c r="C22" s="943"/>
      <c r="D22" s="936"/>
      <c r="E22" s="936"/>
      <c r="F22" s="936"/>
      <c r="G22" s="936"/>
    </row>
    <row r="23" spans="2:7" ht="15">
      <c r="B23" s="947" t="str">
        <f>'[2]Four Year Projection'!A28</f>
        <v>Administration</v>
      </c>
      <c r="C23" s="934" t="e">
        <f>Administration!#REF!</f>
        <v>#REF!</v>
      </c>
      <c r="D23" s="948">
        <f>Administration!E42</f>
        <v>0</v>
      </c>
      <c r="E23" s="948">
        <f>Administration!K11</f>
        <v>452468.13754451199</v>
      </c>
      <c r="F23" s="948">
        <f>Administration!K16</f>
        <v>461517.50029540225</v>
      </c>
      <c r="G23" s="948" t="e">
        <f>Administration!#REF!</f>
        <v>#REF!</v>
      </c>
    </row>
    <row r="24" spans="2:7" ht="15">
      <c r="B24" s="947" t="str">
        <f>'[2]Four Year Projection'!A29</f>
        <v>ASI Student Government</v>
      </c>
      <c r="C24" s="934">
        <f>'Student Government'!C47</f>
        <v>477719.28999999992</v>
      </c>
      <c r="D24" s="948" t="e">
        <f>'Student Government'!#REF!</f>
        <v>#REF!</v>
      </c>
      <c r="E24" s="948">
        <f>'Student Government'!K11</f>
        <v>536794.40705186885</v>
      </c>
      <c r="F24" s="948">
        <f>'Student Government'!K16</f>
        <v>547530.29519290617</v>
      </c>
      <c r="G24" s="948">
        <f>'Student Government'!K22</f>
        <v>558480.90109676425</v>
      </c>
    </row>
    <row r="25" spans="2:7" ht="15">
      <c r="B25" s="947" t="s">
        <v>149</v>
      </c>
      <c r="C25" s="934">
        <f>'Student &amp; University Support'!C42</f>
        <v>553746.49</v>
      </c>
      <c r="D25" s="948">
        <f>'Student &amp; University Support'!E42</f>
        <v>489930</v>
      </c>
      <c r="E25" s="948">
        <f>'Student &amp; University Support'!J9</f>
        <v>499728.6</v>
      </c>
      <c r="F25" s="948">
        <f>'Student &amp; University Support'!J10</f>
        <v>509723.17199999996</v>
      </c>
      <c r="G25" s="948">
        <f>'Student &amp; University Support'!J11</f>
        <v>519917.63543999998</v>
      </c>
    </row>
    <row r="26" spans="2:7" ht="15">
      <c r="B26" s="938" t="s">
        <v>85</v>
      </c>
      <c r="C26" s="939" t="e">
        <f>SUM(C23:C25)</f>
        <v>#REF!</v>
      </c>
      <c r="D26" s="949" t="e">
        <f>SUM(D23:D25)</f>
        <v>#REF!</v>
      </c>
      <c r="E26" s="949">
        <f>SUM(E23:E25)</f>
        <v>1488991.1445963806</v>
      </c>
      <c r="F26" s="949">
        <f>SUM(F23:F25)</f>
        <v>1518770.9674883084</v>
      </c>
      <c r="G26" s="949" t="e">
        <f>SUM(G23:G25)</f>
        <v>#REF!</v>
      </c>
    </row>
    <row r="27" spans="2:7" ht="15">
      <c r="B27" s="944"/>
      <c r="C27" s="942"/>
      <c r="D27" s="936"/>
      <c r="E27" s="936"/>
      <c r="F27" s="936"/>
      <c r="G27" s="936"/>
    </row>
    <row r="28" spans="2:7" s="129" customFormat="1" ht="15">
      <c r="B28" s="938" t="s">
        <v>79</v>
      </c>
      <c r="C28" s="950">
        <f>C20</f>
        <v>1172949.3900000001</v>
      </c>
      <c r="D28" s="949">
        <f>+D20</f>
        <v>1319791.0209999999</v>
      </c>
      <c r="E28" s="949">
        <f>+E20</f>
        <v>1364947</v>
      </c>
      <c r="F28" s="949">
        <f>+F20</f>
        <v>1507450.11</v>
      </c>
      <c r="G28" s="949">
        <f>+G20</f>
        <v>1652669.1825000001</v>
      </c>
    </row>
    <row r="29" spans="2:7" s="129" customFormat="1" ht="15">
      <c r="B29" s="938" t="s">
        <v>85</v>
      </c>
      <c r="C29" s="950" t="e">
        <f>C26</f>
        <v>#REF!</v>
      </c>
      <c r="D29" s="949" t="e">
        <f>+D26</f>
        <v>#REF!</v>
      </c>
      <c r="E29" s="949">
        <f>+E26</f>
        <v>1488991.1445963806</v>
      </c>
      <c r="F29" s="949">
        <f>+F26</f>
        <v>1518770.9674883084</v>
      </c>
      <c r="G29" s="949" t="e">
        <f>+G26</f>
        <v>#REF!</v>
      </c>
    </row>
    <row r="30" spans="2:7" s="129" customFormat="1" ht="15">
      <c r="B30" s="951"/>
      <c r="C30" s="950"/>
      <c r="D30" s="949"/>
      <c r="E30" s="949"/>
      <c r="F30" s="949"/>
      <c r="G30" s="949"/>
    </row>
    <row r="31" spans="2:7" s="129" customFormat="1" ht="15.4" thickBot="1">
      <c r="B31" s="938" t="s">
        <v>86</v>
      </c>
      <c r="C31" s="939" t="e">
        <f>C28-C29</f>
        <v>#REF!</v>
      </c>
      <c r="D31" s="952" t="e">
        <f>+D28-D29</f>
        <v>#REF!</v>
      </c>
      <c r="E31" s="952">
        <f>+E28-E29</f>
        <v>-124044.14459638065</v>
      </c>
      <c r="F31" s="952">
        <f>+F28-F29</f>
        <v>-11320.857488308335</v>
      </c>
      <c r="G31" s="952" t="e">
        <f>+G28-G29</f>
        <v>#REF!</v>
      </c>
    </row>
    <row r="32" spans="2:7" s="129" customFormat="1" ht="13.15">
      <c r="B32" s="134"/>
      <c r="C32" s="358"/>
      <c r="D32" s="241"/>
      <c r="E32" s="241"/>
      <c r="F32" s="241"/>
      <c r="G32" s="968"/>
    </row>
    <row r="33" spans="2:7">
      <c r="B33" s="135"/>
      <c r="C33" s="356"/>
      <c r="D33" s="235"/>
      <c r="E33" s="235"/>
      <c r="F33" s="235"/>
      <c r="G33" s="969"/>
    </row>
    <row r="34" spans="2:7">
      <c r="B34" s="188"/>
      <c r="C34" s="357"/>
      <c r="D34" s="237" t="s">
        <v>38</v>
      </c>
      <c r="E34" s="237" t="s">
        <v>38</v>
      </c>
      <c r="F34" s="237" t="s">
        <v>38</v>
      </c>
      <c r="G34" s="970" t="s">
        <v>38</v>
      </c>
    </row>
    <row r="35" spans="2:7" ht="13.15" thickBot="1">
      <c r="B35" s="194"/>
      <c r="C35" s="359"/>
      <c r="D35" s="243" t="s">
        <v>38</v>
      </c>
      <c r="E35" s="243" t="s">
        <v>38</v>
      </c>
      <c r="F35" s="243" t="s">
        <v>38</v>
      </c>
      <c r="G35" s="971" t="s">
        <v>38</v>
      </c>
    </row>
    <row r="36" spans="2:7" ht="15">
      <c r="B36" s="131" t="s">
        <v>87</v>
      </c>
      <c r="C36" s="361"/>
      <c r="D36" s="348"/>
      <c r="E36" s="348"/>
      <c r="F36" s="348"/>
      <c r="G36" s="972"/>
    </row>
    <row r="37" spans="2:7" s="79" customFormat="1" ht="13.15">
      <c r="B37" s="792" t="s">
        <v>88</v>
      </c>
      <c r="C37" s="793">
        <v>1161077</v>
      </c>
      <c r="D37" s="756"/>
      <c r="E37" s="756"/>
      <c r="F37" s="756"/>
      <c r="G37" s="973"/>
    </row>
    <row r="38" spans="2:7" s="79" customFormat="1" ht="13.15">
      <c r="B38" s="792" t="str">
        <f>B31</f>
        <v>Net Operating Income/(Deficit)</v>
      </c>
      <c r="C38" s="791" t="e">
        <f>C31</f>
        <v>#REF!</v>
      </c>
      <c r="D38" s="756"/>
      <c r="E38" s="756"/>
      <c r="F38" s="756"/>
      <c r="G38" s="973"/>
    </row>
    <row r="39" spans="2:7" s="79" customFormat="1" ht="26.65" thickBot="1">
      <c r="B39" s="794" t="s">
        <v>150</v>
      </c>
      <c r="C39" s="795">
        <f>-(Administration!C44+Administration!C45+Administration!C46+'Student Government'!C50)</f>
        <v>-27187.200000000001</v>
      </c>
      <c r="D39" s="757"/>
      <c r="E39" s="757"/>
      <c r="F39" s="757"/>
      <c r="G39" s="974"/>
    </row>
    <row r="40" spans="2:7" s="129" customFormat="1" ht="13.15">
      <c r="B40" s="196"/>
      <c r="C40" s="360"/>
      <c r="D40" s="758"/>
      <c r="E40" s="758"/>
      <c r="F40" s="758"/>
      <c r="G40" s="975"/>
    </row>
    <row r="41" spans="2:7" s="129" customFormat="1" ht="13.15">
      <c r="B41" s="133" t="s">
        <v>92</v>
      </c>
      <c r="C41" s="976" t="e">
        <f>SUM(C37:C39)</f>
        <v>#REF!</v>
      </c>
      <c r="D41" s="759"/>
      <c r="E41" s="759"/>
      <c r="F41" s="759"/>
      <c r="G41" s="977"/>
    </row>
    <row r="42" spans="2:7" ht="13.15">
      <c r="B42" s="133"/>
      <c r="C42" s="358"/>
      <c r="D42" s="760"/>
      <c r="E42" s="760"/>
      <c r="F42" s="760"/>
      <c r="G42" s="978"/>
    </row>
    <row r="43" spans="2:7">
      <c r="B43" s="135"/>
      <c r="C43" s="356"/>
      <c r="D43" s="761"/>
      <c r="E43" s="761"/>
      <c r="F43" s="761"/>
      <c r="G43" s="979"/>
    </row>
    <row r="44" spans="2:7" ht="13.5" thickBot="1">
      <c r="B44" s="754"/>
      <c r="C44" s="755"/>
      <c r="D44" s="762"/>
      <c r="E44" s="762"/>
      <c r="F44" s="762"/>
      <c r="G44" s="980"/>
    </row>
    <row r="45" spans="2:7" ht="13.15">
      <c r="B45" s="692"/>
      <c r="C45" s="244"/>
      <c r="D45" s="683"/>
      <c r="E45" s="683"/>
      <c r="F45" s="683"/>
      <c r="G45" s="683"/>
    </row>
    <row r="46" spans="2:7">
      <c r="B46" s="1356"/>
      <c r="C46" s="675"/>
      <c r="D46" s="963"/>
      <c r="E46" s="676"/>
      <c r="F46" s="676"/>
      <c r="G46" s="676"/>
    </row>
    <row r="47" spans="2:7">
      <c r="B47" s="1358"/>
      <c r="C47" s="785"/>
      <c r="D47" s="677"/>
      <c r="E47" s="677"/>
      <c r="F47" s="677"/>
      <c r="G47" s="677"/>
    </row>
    <row r="48" spans="2:7">
      <c r="B48" s="1358"/>
      <c r="C48" s="237"/>
      <c r="D48" s="677"/>
      <c r="E48" s="677"/>
      <c r="F48" s="677"/>
      <c r="G48" s="677"/>
    </row>
    <row r="49" spans="2:7">
      <c r="B49" s="1356"/>
      <c r="C49" s="237"/>
      <c r="D49" s="677"/>
      <c r="E49" s="677"/>
      <c r="F49" s="677"/>
      <c r="G49" s="677"/>
    </row>
    <row r="50" spans="2:7">
      <c r="B50" s="1361"/>
      <c r="C50" s="237"/>
      <c r="D50" s="677"/>
      <c r="E50" s="677"/>
      <c r="F50" s="677"/>
      <c r="G50" s="677"/>
    </row>
    <row r="51" spans="2:7" ht="13.15">
      <c r="B51" s="141"/>
      <c r="C51" s="234"/>
      <c r="D51" s="674"/>
      <c r="E51" s="674"/>
      <c r="F51" s="674"/>
      <c r="G51" s="674"/>
    </row>
    <row r="52" spans="2:7" ht="13.15">
      <c r="B52" s="146"/>
      <c r="C52" s="234"/>
      <c r="D52" s="674"/>
      <c r="E52" s="674"/>
      <c r="F52" s="674"/>
      <c r="G52" s="674"/>
    </row>
    <row r="53" spans="2:7" ht="13.15">
      <c r="B53" s="679"/>
      <c r="C53" s="234"/>
      <c r="D53" s="674"/>
      <c r="E53" s="674"/>
      <c r="F53" s="674"/>
      <c r="G53" s="674"/>
    </row>
    <row r="54" spans="2:7">
      <c r="B54" s="135"/>
      <c r="C54" s="678"/>
      <c r="D54" s="127"/>
      <c r="E54" s="127"/>
      <c r="F54" s="127"/>
      <c r="G54" s="127"/>
    </row>
    <row r="55" spans="2:7" ht="13.15">
      <c r="B55" s="679"/>
      <c r="C55" s="237"/>
      <c r="D55" s="87"/>
      <c r="E55" s="87"/>
      <c r="F55" s="87"/>
      <c r="G55" s="87"/>
    </row>
    <row r="56" spans="2:7" ht="13.15">
      <c r="B56" s="133"/>
      <c r="C56" s="237"/>
      <c r="D56" s="681"/>
      <c r="E56" s="681"/>
      <c r="F56" s="681"/>
      <c r="G56" s="681"/>
    </row>
    <row r="57" spans="2:7" ht="13.15">
      <c r="B57" s="133"/>
      <c r="C57" s="237"/>
      <c r="D57" s="680"/>
      <c r="E57" s="680"/>
      <c r="F57" s="680"/>
      <c r="G57" s="680"/>
    </row>
    <row r="58" spans="2:7">
      <c r="B58" s="786"/>
      <c r="C58" s="787"/>
      <c r="D58" s="671"/>
      <c r="E58" s="671"/>
      <c r="F58" s="671"/>
      <c r="G58" s="671"/>
    </row>
    <row r="59" spans="2:7" ht="13.15" thickBot="1">
      <c r="B59" s="788"/>
      <c r="C59" s="789"/>
      <c r="D59" s="138"/>
      <c r="E59" s="138"/>
      <c r="F59" s="138"/>
      <c r="G59" s="138"/>
    </row>
    <row r="60" spans="2:7">
      <c r="D60" s="127"/>
      <c r="E60" s="127"/>
      <c r="F60" s="127"/>
      <c r="G60" s="127"/>
    </row>
    <row r="61" spans="2:7" ht="13.5">
      <c r="B61" s="769"/>
      <c r="C61" s="280"/>
      <c r="D61" s="235"/>
      <c r="E61" s="235"/>
      <c r="F61" s="235"/>
      <c r="G61" s="235"/>
    </row>
    <row r="62" spans="2:7" ht="13.5">
      <c r="B62" s="770"/>
      <c r="D62" s="127"/>
      <c r="E62" s="127"/>
      <c r="F62" s="127"/>
      <c r="G62" s="127"/>
    </row>
    <row r="63" spans="2:7" ht="13.5">
      <c r="B63" s="770"/>
      <c r="D63" s="127"/>
      <c r="E63" s="127"/>
      <c r="F63" s="127"/>
      <c r="G63" s="127"/>
    </row>
    <row r="64" spans="2:7" ht="13.5">
      <c r="B64" s="770"/>
      <c r="C64" s="1362"/>
    </row>
    <row r="65" spans="3:7" s="37" customFormat="1">
      <c r="C65" s="1362"/>
      <c r="D65" s="68"/>
      <c r="E65" s="68"/>
      <c r="F65" s="68"/>
      <c r="G65" s="68"/>
    </row>
    <row r="66" spans="3:7">
      <c r="C66" s="1363"/>
    </row>
    <row r="67" spans="3:7">
      <c r="C67" s="1363"/>
    </row>
    <row r="68" spans="3:7">
      <c r="C68" s="1364"/>
    </row>
    <row r="69" spans="3:7">
      <c r="C69" s="1364"/>
    </row>
    <row r="70" spans="3:7">
      <c r="C70" s="1364"/>
    </row>
    <row r="71" spans="3:7" ht="13.15">
      <c r="C71" s="665"/>
    </row>
    <row r="72" spans="3:7">
      <c r="C72" s="1365"/>
    </row>
    <row r="73" spans="3:7" ht="13.15">
      <c r="C73" s="665"/>
    </row>
    <row r="74" spans="3:7">
      <c r="C74" s="1364"/>
    </row>
    <row r="75" spans="3:7" ht="13.15">
      <c r="C75" s="666"/>
    </row>
    <row r="76" spans="3:7">
      <c r="C76" s="667"/>
    </row>
    <row r="77" spans="3:7" ht="13.15">
      <c r="C77" s="665"/>
    </row>
    <row r="78" spans="3:7">
      <c r="C78" s="668"/>
    </row>
    <row r="79" spans="3:7">
      <c r="C79" s="1364"/>
    </row>
    <row r="80" spans="3:7">
      <c r="C80" s="669"/>
    </row>
    <row r="81" spans="3:3" customFormat="1">
      <c r="C81" s="670"/>
    </row>
    <row r="82" spans="3:3" customFormat="1">
      <c r="C82" s="671"/>
    </row>
    <row r="83" spans="3:3" customFormat="1">
      <c r="C83" s="671"/>
    </row>
  </sheetData>
  <pageMargins left="0.7" right="0.7" top="0.75" bottom="0.75" header="0.3" footer="0.3"/>
  <pageSetup paperSize="17"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workbookViewId="0">
      <selection activeCell="J30" sqref="J30"/>
    </sheetView>
  </sheetViews>
  <sheetFormatPr defaultColWidth="9.1328125" defaultRowHeight="12.4"/>
  <cols>
    <col min="1" max="1" width="23.265625" style="1215" customWidth="1"/>
    <col min="2" max="2" width="11.73046875" style="1215" customWidth="1"/>
    <col min="3" max="3" width="9.3984375" style="1215" customWidth="1"/>
    <col min="4" max="4" width="11" style="1215" customWidth="1"/>
    <col min="5" max="5" width="10.73046875" style="1215" customWidth="1"/>
    <col min="6" max="6" width="13.1328125" style="1215" customWidth="1"/>
    <col min="7" max="16384" width="9.1328125" style="1215"/>
  </cols>
  <sheetData>
    <row r="1" spans="1:6" ht="17.649999999999999">
      <c r="A1" s="1451" t="s">
        <v>151</v>
      </c>
      <c r="B1" s="1451"/>
      <c r="C1" s="1451"/>
      <c r="D1" s="1451"/>
      <c r="E1" s="1451"/>
      <c r="F1" s="1451"/>
    </row>
    <row r="2" spans="1:6" ht="17.649999999999999">
      <c r="A2" s="1451"/>
      <c r="B2" s="1451"/>
      <c r="C2" s="1451"/>
      <c r="D2" s="1451"/>
      <c r="E2" s="1451"/>
      <c r="F2" s="1451"/>
    </row>
    <row r="3" spans="1:6" ht="17.649999999999999">
      <c r="B3" s="1216" t="s">
        <v>152</v>
      </c>
      <c r="C3" s="1217"/>
      <c r="D3" s="1218"/>
      <c r="E3" s="1219"/>
      <c r="F3" s="1219"/>
    </row>
    <row r="4" spans="1:6" ht="18" thickBot="1">
      <c r="A4" s="1409"/>
      <c r="B4" s="1220"/>
      <c r="C4" s="1221"/>
      <c r="E4" s="1221"/>
      <c r="F4" s="1221"/>
    </row>
    <row r="5" spans="1:6" ht="13.15">
      <c r="A5" s="1222"/>
      <c r="B5" s="1223" t="s">
        <v>153</v>
      </c>
      <c r="C5" s="1223" t="s">
        <v>154</v>
      </c>
      <c r="D5" s="1223" t="s">
        <v>155</v>
      </c>
      <c r="E5" s="1224" t="s">
        <v>156</v>
      </c>
      <c r="F5" s="1225" t="s">
        <v>157</v>
      </c>
    </row>
    <row r="6" spans="1:6" ht="13.5" thickBot="1">
      <c r="A6" s="1226" t="s">
        <v>158</v>
      </c>
      <c r="B6" s="1227" t="s">
        <v>140</v>
      </c>
      <c r="C6" s="1227" t="s">
        <v>159</v>
      </c>
      <c r="D6" s="1227" t="s">
        <v>159</v>
      </c>
      <c r="E6" s="1228" t="s">
        <v>160</v>
      </c>
      <c r="F6" s="1229" t="s">
        <v>161</v>
      </c>
    </row>
    <row r="7" spans="1:6" ht="13.15">
      <c r="A7" s="1230" t="s">
        <v>162</v>
      </c>
      <c r="B7" s="1231">
        <f>B8+B9</f>
        <v>77.099999999999994</v>
      </c>
      <c r="C7" s="1231">
        <f>C8+C9</f>
        <v>19867.004325503251</v>
      </c>
      <c r="D7" s="1231">
        <f>D8+D9</f>
        <v>18552.338149189261</v>
      </c>
      <c r="E7" s="1232">
        <f t="shared" ref="E7:E39" si="0">(C7+D7)/2</f>
        <v>19209.671237346258</v>
      </c>
      <c r="F7" s="1233">
        <f>(B7+C7+D7)/2</f>
        <v>19248.221237346253</v>
      </c>
    </row>
    <row r="8" spans="1:6" ht="13.15">
      <c r="A8" s="1230" t="s">
        <v>163</v>
      </c>
      <c r="B8" s="1234">
        <v>3.6</v>
      </c>
      <c r="C8" s="1235">
        <v>767.32047430425428</v>
      </c>
      <c r="D8" s="1236">
        <v>635.22829795044993</v>
      </c>
      <c r="E8" s="1237">
        <f t="shared" si="0"/>
        <v>701.27438612735205</v>
      </c>
      <c r="F8" s="1237">
        <f t="shared" ref="F8:F70" si="1">(B8+C8+D8)/2</f>
        <v>703.07438612735211</v>
      </c>
    </row>
    <row r="9" spans="1:6" ht="13.15">
      <c r="A9" s="1230" t="s">
        <v>164</v>
      </c>
      <c r="B9" s="1234">
        <v>73.5</v>
      </c>
      <c r="C9" s="1235">
        <v>19099.683851198995</v>
      </c>
      <c r="D9" s="1236">
        <v>17917.109851238813</v>
      </c>
      <c r="E9" s="1237">
        <f t="shared" si="0"/>
        <v>18508.396851218902</v>
      </c>
      <c r="F9" s="1237">
        <f t="shared" si="1"/>
        <v>18545.146851218902</v>
      </c>
    </row>
    <row r="10" spans="1:6" ht="13.15">
      <c r="A10" s="1230" t="s">
        <v>165</v>
      </c>
      <c r="B10" s="1234">
        <v>1575</v>
      </c>
      <c r="C10" s="1235">
        <v>292020.6849773968</v>
      </c>
      <c r="D10" s="1236">
        <v>272709.39829750441</v>
      </c>
      <c r="E10" s="1237">
        <f t="shared" si="0"/>
        <v>282365.04163745057</v>
      </c>
      <c r="F10" s="1237">
        <f t="shared" si="1"/>
        <v>283152.54163745057</v>
      </c>
    </row>
    <row r="11" spans="1:6" ht="13.15">
      <c r="A11" s="1230" t="s">
        <v>166</v>
      </c>
      <c r="B11" s="1231">
        <f>B13</f>
        <v>253</v>
      </c>
      <c r="C11" s="1231">
        <f>C13</f>
        <v>24188.207043300685</v>
      </c>
      <c r="D11" s="1231">
        <f>D13</f>
        <v>22293.302515895768</v>
      </c>
      <c r="E11" s="1237">
        <f t="shared" si="0"/>
        <v>23240.754779598225</v>
      </c>
      <c r="F11" s="1237">
        <f t="shared" si="1"/>
        <v>23367.254779598225</v>
      </c>
    </row>
    <row r="12" spans="1:6" ht="13.5" thickBot="1">
      <c r="A12" s="1238" t="s">
        <v>167</v>
      </c>
      <c r="B12" s="1239">
        <f t="shared" ref="B12:D12" si="2">B10/B11</f>
        <v>6.2252964426877471</v>
      </c>
      <c r="C12" s="1239">
        <f t="shared" si="2"/>
        <v>12.072853703237861</v>
      </c>
      <c r="D12" s="1239">
        <f t="shared" si="2"/>
        <v>12.232794943820222</v>
      </c>
      <c r="E12" s="1239">
        <f t="shared" si="0"/>
        <v>12.152824323529043</v>
      </c>
      <c r="F12" s="1240">
        <f t="shared" si="1"/>
        <v>15.265472544872914</v>
      </c>
    </row>
    <row r="13" spans="1:6" ht="13.15">
      <c r="A13" s="1230" t="s">
        <v>168</v>
      </c>
      <c r="B13" s="1231">
        <f t="shared" ref="B13:B14" si="3">B17+B21</f>
        <v>253</v>
      </c>
      <c r="C13" s="1282">
        <f>C17+C21</f>
        <v>24188.207043300685</v>
      </c>
      <c r="D13" s="1282">
        <f t="shared" ref="D13:D14" si="4">D17+D21</f>
        <v>22293.302515895768</v>
      </c>
      <c r="E13" s="1283">
        <f t="shared" si="0"/>
        <v>23240.754779598225</v>
      </c>
      <c r="F13" s="1284">
        <f t="shared" si="1"/>
        <v>23367.254779598225</v>
      </c>
    </row>
    <row r="14" spans="1:6" ht="13.15">
      <c r="A14" s="1230" t="s">
        <v>169</v>
      </c>
      <c r="B14" s="1242">
        <f t="shared" si="3"/>
        <v>0</v>
      </c>
      <c r="C14" s="1242">
        <f>C18+C22</f>
        <v>265.11672649609051</v>
      </c>
      <c r="D14" s="1242">
        <f t="shared" si="4"/>
        <v>234.83113605227283</v>
      </c>
      <c r="E14" s="1237">
        <f t="shared" si="0"/>
        <v>249.97393127418167</v>
      </c>
      <c r="F14" s="1241">
        <f t="shared" si="1"/>
        <v>249.97393127418167</v>
      </c>
    </row>
    <row r="15" spans="1:6" ht="13.15">
      <c r="A15" s="1243" t="s">
        <v>170</v>
      </c>
      <c r="B15" s="1244">
        <f>B13-B14</f>
        <v>253</v>
      </c>
      <c r="C15" s="1244">
        <f>C13-C14</f>
        <v>23923.090316804595</v>
      </c>
      <c r="D15" s="1244">
        <f t="shared" ref="D15" si="5">D13-D14</f>
        <v>22058.471379843497</v>
      </c>
      <c r="E15" s="1245">
        <f t="shared" si="0"/>
        <v>22990.780848324044</v>
      </c>
      <c r="F15" s="1246">
        <f t="shared" si="1"/>
        <v>23117.280848324044</v>
      </c>
    </row>
    <row r="16" spans="1:6" ht="13.15">
      <c r="A16" s="1230" t="s">
        <v>171</v>
      </c>
      <c r="B16" s="1247"/>
      <c r="C16" s="1247"/>
      <c r="D16" s="1247"/>
      <c r="E16" s="1248"/>
      <c r="F16" s="1249"/>
    </row>
    <row r="17" spans="1:6" ht="13.15">
      <c r="A17" s="1230" t="s">
        <v>172</v>
      </c>
      <c r="B17" s="1231">
        <f>B25+B33+B41</f>
        <v>158</v>
      </c>
      <c r="C17" s="1231">
        <f t="shared" ref="C17:D17" si="6">C25+C33+C41</f>
        <v>2592.9285086486484</v>
      </c>
      <c r="D17" s="1231">
        <f t="shared" si="6"/>
        <v>2202.1942092013142</v>
      </c>
      <c r="E17" s="1237">
        <f t="shared" si="0"/>
        <v>2397.5613589249815</v>
      </c>
      <c r="F17" s="1241">
        <f t="shared" si="1"/>
        <v>2476.5613589249815</v>
      </c>
    </row>
    <row r="18" spans="1:6" ht="13.15">
      <c r="A18" s="1230" t="s">
        <v>173</v>
      </c>
      <c r="B18" s="1231">
        <f>B26+B34+B42</f>
        <v>0</v>
      </c>
      <c r="C18" s="1231">
        <f>C26+C34+C42</f>
        <v>46.069463948500967</v>
      </c>
      <c r="D18" s="1231">
        <f>D26+D34+D42</f>
        <v>40.008267623720556</v>
      </c>
      <c r="E18" s="1237">
        <f t="shared" si="0"/>
        <v>43.038865786110762</v>
      </c>
      <c r="F18" s="1241">
        <f t="shared" si="1"/>
        <v>43.038865786110762</v>
      </c>
    </row>
    <row r="19" spans="1:6" ht="13.15">
      <c r="A19" s="1243" t="s">
        <v>174</v>
      </c>
      <c r="B19" s="1244">
        <f>B17-B18</f>
        <v>158</v>
      </c>
      <c r="C19" s="1244">
        <f t="shared" ref="C19:D19" si="7">C17-C18</f>
        <v>2546.8590447001475</v>
      </c>
      <c r="D19" s="1244">
        <f t="shared" si="7"/>
        <v>2162.1859415775934</v>
      </c>
      <c r="E19" s="1244">
        <f t="shared" si="0"/>
        <v>2354.5224931388702</v>
      </c>
      <c r="F19" s="1245">
        <f t="shared" si="1"/>
        <v>2433.5224931388702</v>
      </c>
    </row>
    <row r="20" spans="1:6" ht="13.15">
      <c r="A20" s="1230" t="s">
        <v>175</v>
      </c>
      <c r="B20" s="1250"/>
      <c r="C20" s="1250"/>
      <c r="D20" s="1250"/>
      <c r="E20" s="1237"/>
      <c r="F20" s="1241"/>
    </row>
    <row r="21" spans="1:6" ht="13.15">
      <c r="A21" s="1230" t="s">
        <v>172</v>
      </c>
      <c r="B21" s="1251">
        <f t="shared" ref="B21:D22" si="8">B29+B37+B45+B59</f>
        <v>95</v>
      </c>
      <c r="C21" s="1251">
        <f t="shared" si="8"/>
        <v>21595.278534652036</v>
      </c>
      <c r="D21" s="1251">
        <f t="shared" si="8"/>
        <v>20091.108306694456</v>
      </c>
      <c r="E21" s="1237">
        <f t="shared" si="0"/>
        <v>20843.193420673248</v>
      </c>
      <c r="F21" s="1241">
        <f t="shared" si="1"/>
        <v>20890.693420673248</v>
      </c>
    </row>
    <row r="22" spans="1:6" ht="13.15">
      <c r="A22" s="1230" t="s">
        <v>173</v>
      </c>
      <c r="B22" s="1251">
        <f t="shared" si="8"/>
        <v>0</v>
      </c>
      <c r="C22" s="1251">
        <f t="shared" si="8"/>
        <v>219.04726254758953</v>
      </c>
      <c r="D22" s="1251">
        <f t="shared" si="8"/>
        <v>194.82286842855225</v>
      </c>
      <c r="E22" s="1237">
        <f t="shared" si="0"/>
        <v>206.9350654880709</v>
      </c>
      <c r="F22" s="1241">
        <f t="shared" si="1"/>
        <v>206.9350654880709</v>
      </c>
    </row>
    <row r="23" spans="1:6" ht="13.5" thickBot="1">
      <c r="A23" s="1230" t="s">
        <v>174</v>
      </c>
      <c r="B23" s="1244">
        <f>B21-B22</f>
        <v>95</v>
      </c>
      <c r="C23" s="1244">
        <f>C21-C22</f>
        <v>21376.231272104447</v>
      </c>
      <c r="D23" s="1244">
        <f>D21-D22</f>
        <v>19896.285438265902</v>
      </c>
      <c r="E23" s="1231">
        <f t="shared" si="0"/>
        <v>20636.258355185175</v>
      </c>
      <c r="F23" s="1237">
        <f t="shared" si="1"/>
        <v>20683.758355185175</v>
      </c>
    </row>
    <row r="24" spans="1:6" ht="13.15">
      <c r="A24" s="1252" t="s">
        <v>176</v>
      </c>
      <c r="B24" s="1253"/>
      <c r="C24" s="1253"/>
      <c r="D24" s="1253"/>
      <c r="E24" s="1254"/>
      <c r="F24" s="1255"/>
    </row>
    <row r="25" spans="1:6" ht="13.15">
      <c r="A25" s="1230" t="s">
        <v>172</v>
      </c>
      <c r="B25" s="1234">
        <v>35</v>
      </c>
      <c r="C25" s="1256">
        <v>1506.3845475990975</v>
      </c>
      <c r="D25" s="1234">
        <v>1261.9999200438808</v>
      </c>
      <c r="E25" s="1237">
        <f t="shared" si="0"/>
        <v>1384.192233821489</v>
      </c>
      <c r="F25" s="1241">
        <f t="shared" si="1"/>
        <v>1401.692233821489</v>
      </c>
    </row>
    <row r="26" spans="1:6" ht="13.15">
      <c r="A26" s="1230" t="s">
        <v>173</v>
      </c>
      <c r="B26" s="1234">
        <v>0</v>
      </c>
      <c r="C26" s="1256">
        <v>12.169292363754973</v>
      </c>
      <c r="D26" s="1234">
        <v>12.176429276784516</v>
      </c>
      <c r="E26" s="1237">
        <f t="shared" si="0"/>
        <v>12.172860820269744</v>
      </c>
      <c r="F26" s="1241">
        <f t="shared" si="1"/>
        <v>12.172860820269744</v>
      </c>
    </row>
    <row r="27" spans="1:6" ht="13.15">
      <c r="A27" s="1243" t="s">
        <v>174</v>
      </c>
      <c r="B27" s="1244">
        <f>B25-B26</f>
        <v>35</v>
      </c>
      <c r="C27" s="1257">
        <f>C25-C26</f>
        <v>1494.2152552353425</v>
      </c>
      <c r="D27" s="1245">
        <f>D25-D26</f>
        <v>1249.8234907670962</v>
      </c>
      <c r="E27" s="1244">
        <f t="shared" si="0"/>
        <v>1372.0193730012193</v>
      </c>
      <c r="F27" s="1245">
        <f t="shared" si="1"/>
        <v>1389.5193730012193</v>
      </c>
    </row>
    <row r="28" spans="1:6" ht="13.15">
      <c r="A28" s="1230" t="s">
        <v>177</v>
      </c>
      <c r="B28" s="1250"/>
      <c r="C28" s="1258"/>
      <c r="D28" s="1259"/>
      <c r="E28" s="1260"/>
      <c r="F28" s="1241">
        <f t="shared" si="1"/>
        <v>0</v>
      </c>
    </row>
    <row r="29" spans="1:6" ht="13.15">
      <c r="A29" s="1230" t="s">
        <v>172</v>
      </c>
      <c r="B29" s="1234">
        <v>0</v>
      </c>
      <c r="C29" s="1261">
        <v>19404.805909176142</v>
      </c>
      <c r="D29" s="1234">
        <v>18104.610844681894</v>
      </c>
      <c r="E29" s="1237">
        <f t="shared" si="0"/>
        <v>18754.708376929018</v>
      </c>
      <c r="F29" s="1241">
        <f t="shared" si="1"/>
        <v>18754.708376929018</v>
      </c>
    </row>
    <row r="30" spans="1:6" ht="13.15">
      <c r="A30" s="1230" t="s">
        <v>173</v>
      </c>
      <c r="B30" s="1234">
        <v>0</v>
      </c>
      <c r="C30" s="1261">
        <v>194.70867782007957</v>
      </c>
      <c r="D30" s="1234">
        <v>172.20949977166671</v>
      </c>
      <c r="E30" s="1237">
        <f t="shared" si="0"/>
        <v>183.45908879587313</v>
      </c>
      <c r="F30" s="1241">
        <f t="shared" si="1"/>
        <v>183.45908879587313</v>
      </c>
    </row>
    <row r="31" spans="1:6" ht="13.5" thickBot="1">
      <c r="A31" s="1230" t="s">
        <v>174</v>
      </c>
      <c r="B31" s="1244">
        <f>B29-B30</f>
        <v>0</v>
      </c>
      <c r="C31" s="1257">
        <f>C29-C30</f>
        <v>19210.097231356063</v>
      </c>
      <c r="D31" s="1245">
        <f>D29-D30</f>
        <v>17932.401344910228</v>
      </c>
      <c r="E31" s="1237">
        <f t="shared" si="0"/>
        <v>18571.249288133145</v>
      </c>
      <c r="F31" s="1241">
        <f t="shared" si="1"/>
        <v>18571.249288133145</v>
      </c>
    </row>
    <row r="32" spans="1:6" ht="13.15">
      <c r="A32" s="1252" t="s">
        <v>178</v>
      </c>
      <c r="B32" s="1253"/>
      <c r="C32" s="1262"/>
      <c r="D32" s="1263"/>
      <c r="E32" s="1254"/>
      <c r="F32" s="1255"/>
    </row>
    <row r="33" spans="1:6" ht="13.15">
      <c r="A33" s="1230" t="s">
        <v>172</v>
      </c>
      <c r="B33" s="1234">
        <v>0</v>
      </c>
      <c r="C33" s="1256">
        <v>26.946290234028861</v>
      </c>
      <c r="D33" s="1234">
        <v>30.441073191961291</v>
      </c>
      <c r="E33" s="1237">
        <f t="shared" si="0"/>
        <v>28.693681712995076</v>
      </c>
      <c r="F33" s="1241">
        <f t="shared" si="1"/>
        <v>28.693681712995076</v>
      </c>
    </row>
    <row r="34" spans="1:6" ht="13.15">
      <c r="A34" s="1230" t="s">
        <v>173</v>
      </c>
      <c r="B34" s="1234">
        <v>0</v>
      </c>
      <c r="C34" s="1256">
        <v>0</v>
      </c>
      <c r="D34" s="1264">
        <v>0.8697449483417512</v>
      </c>
      <c r="E34" s="1237">
        <f t="shared" si="0"/>
        <v>0.4348724741708756</v>
      </c>
      <c r="F34" s="1241">
        <f t="shared" si="1"/>
        <v>0.4348724741708756</v>
      </c>
    </row>
    <row r="35" spans="1:6" ht="13.15">
      <c r="A35" s="1243" t="s">
        <v>174</v>
      </c>
      <c r="B35" s="1244">
        <f>B33-B34</f>
        <v>0</v>
      </c>
      <c r="C35" s="1257">
        <f>C33-C34</f>
        <v>26.946290234028861</v>
      </c>
      <c r="D35" s="1245">
        <f>D33-D34</f>
        <v>29.57132824361954</v>
      </c>
      <c r="E35" s="1245">
        <f t="shared" si="0"/>
        <v>28.258809238824199</v>
      </c>
      <c r="F35" s="1246">
        <f t="shared" si="1"/>
        <v>28.258809238824199</v>
      </c>
    </row>
    <row r="36" spans="1:6" ht="13.15">
      <c r="A36" s="1230" t="s">
        <v>179</v>
      </c>
      <c r="B36" s="1250"/>
      <c r="C36" s="1258"/>
      <c r="D36" s="1259"/>
      <c r="E36" s="1237"/>
      <c r="F36" s="1237"/>
    </row>
    <row r="37" spans="1:6" ht="13.15">
      <c r="A37" s="1230" t="s">
        <v>172</v>
      </c>
      <c r="B37" s="1234">
        <v>19</v>
      </c>
      <c r="C37" s="1256">
        <v>73.015754182529818</v>
      </c>
      <c r="D37" s="1234">
        <v>108.7181185427189</v>
      </c>
      <c r="E37" s="1231">
        <f t="shared" si="0"/>
        <v>90.866936362624358</v>
      </c>
      <c r="F37" s="1237">
        <f t="shared" si="1"/>
        <v>100.36693636262436</v>
      </c>
    </row>
    <row r="38" spans="1:6" ht="13.15">
      <c r="A38" s="1230" t="s">
        <v>173</v>
      </c>
      <c r="B38" s="1234">
        <v>0</v>
      </c>
      <c r="C38" s="1256">
        <v>0</v>
      </c>
      <c r="D38" s="1265">
        <v>0</v>
      </c>
      <c r="E38" s="1231">
        <f t="shared" si="0"/>
        <v>0</v>
      </c>
      <c r="F38" s="1237">
        <f t="shared" si="1"/>
        <v>0</v>
      </c>
    </row>
    <row r="39" spans="1:6" ht="13.5" thickBot="1">
      <c r="A39" s="1230" t="s">
        <v>174</v>
      </c>
      <c r="B39" s="1244">
        <f>B37-B38</f>
        <v>19</v>
      </c>
      <c r="C39" s="1257">
        <f>C37-C38</f>
        <v>73.015754182529818</v>
      </c>
      <c r="D39" s="1245">
        <f>D37-D38</f>
        <v>108.7181185427189</v>
      </c>
      <c r="E39" s="1231">
        <f t="shared" si="0"/>
        <v>90.866936362624358</v>
      </c>
      <c r="F39" s="1237">
        <f t="shared" si="1"/>
        <v>100.36693636262436</v>
      </c>
    </row>
    <row r="40" spans="1:6" ht="13.15">
      <c r="A40" s="1252" t="s">
        <v>180</v>
      </c>
      <c r="B40" s="1253"/>
      <c r="C40" s="1262"/>
      <c r="D40" s="1263"/>
      <c r="E40" s="1254"/>
      <c r="F40" s="1254"/>
    </row>
    <row r="41" spans="1:6" ht="13.15">
      <c r="A41" s="1230" t="s">
        <v>172</v>
      </c>
      <c r="B41" s="1234">
        <v>123</v>
      </c>
      <c r="C41" s="1256">
        <v>1059.5976708155222</v>
      </c>
      <c r="D41" s="1234">
        <v>909.75321596547178</v>
      </c>
      <c r="E41" s="1231">
        <f>(C41+D41)/2</f>
        <v>984.67544339049698</v>
      </c>
      <c r="F41" s="1237">
        <f t="shared" si="1"/>
        <v>1046.1754433904971</v>
      </c>
    </row>
    <row r="42" spans="1:6" ht="13.15">
      <c r="A42" s="1230" t="s">
        <v>173</v>
      </c>
      <c r="B42" s="1234">
        <v>0</v>
      </c>
      <c r="C42" s="1256">
        <v>33.900171584745991</v>
      </c>
      <c r="D42" s="1234">
        <v>26.962093398594288</v>
      </c>
      <c r="E42" s="1231">
        <f>(C42+D42)/2</f>
        <v>30.431132491670141</v>
      </c>
      <c r="F42" s="1237">
        <f t="shared" si="1"/>
        <v>30.431132491670141</v>
      </c>
    </row>
    <row r="43" spans="1:6" ht="13.15">
      <c r="A43" s="1243" t="s">
        <v>174</v>
      </c>
      <c r="B43" s="1244">
        <f>B41-B42</f>
        <v>123</v>
      </c>
      <c r="C43" s="1244">
        <f>C41-C42</f>
        <v>1025.6974992307762</v>
      </c>
      <c r="D43" s="1245">
        <f>D41-D42</f>
        <v>882.79112256687745</v>
      </c>
      <c r="E43" s="1231">
        <f>(C43+D43)/2</f>
        <v>954.24431089882682</v>
      </c>
      <c r="F43" s="1245">
        <f t="shared" si="1"/>
        <v>1015.7443108988268</v>
      </c>
    </row>
    <row r="44" spans="1:6" ht="13.15">
      <c r="A44" s="1230" t="s">
        <v>181</v>
      </c>
      <c r="B44" s="1250"/>
      <c r="C44" s="1250"/>
      <c r="D44" s="1259"/>
      <c r="E44" s="1260"/>
      <c r="F44" s="1237"/>
    </row>
    <row r="45" spans="1:6" ht="13.15">
      <c r="A45" s="1230" t="s">
        <v>172</v>
      </c>
      <c r="B45" s="1234">
        <v>26</v>
      </c>
      <c r="C45" s="1234">
        <v>2057.4796446434298</v>
      </c>
      <c r="D45" s="1234">
        <v>1822.9854117243106</v>
      </c>
      <c r="E45" s="1231">
        <f>(C45+D45)/2</f>
        <v>1940.2325281838703</v>
      </c>
      <c r="F45" s="1237">
        <f t="shared" si="1"/>
        <v>1953.2325281838703</v>
      </c>
    </row>
    <row r="46" spans="1:6" ht="13.15">
      <c r="A46" s="1230" t="s">
        <v>173</v>
      </c>
      <c r="B46" s="1234">
        <v>0</v>
      </c>
      <c r="C46" s="1234">
        <v>24.338584727509947</v>
      </c>
      <c r="D46" s="1234">
        <v>18.264643915176773</v>
      </c>
      <c r="E46" s="1231">
        <f t="shared" ref="E46:E70" si="9">(C46+D46)/2</f>
        <v>21.301614321343358</v>
      </c>
      <c r="F46" s="1237">
        <f t="shared" si="1"/>
        <v>21.301614321343358</v>
      </c>
    </row>
    <row r="47" spans="1:6" ht="13.5" thickBot="1">
      <c r="A47" s="1230" t="s">
        <v>174</v>
      </c>
      <c r="B47" s="1244">
        <f>B45-B46</f>
        <v>26</v>
      </c>
      <c r="C47" s="1244">
        <f>C45-C46</f>
        <v>2033.1410599159199</v>
      </c>
      <c r="D47" s="1245">
        <f>D45-D46</f>
        <v>1804.7207678091338</v>
      </c>
      <c r="E47" s="1231">
        <f t="shared" si="9"/>
        <v>1918.9309138625267</v>
      </c>
      <c r="F47" s="1237">
        <f t="shared" si="1"/>
        <v>1931.9309138625267</v>
      </c>
    </row>
    <row r="48" spans="1:6" ht="13.15">
      <c r="A48" s="1252" t="s">
        <v>182</v>
      </c>
      <c r="B48" s="1266">
        <f t="shared" ref="B48" si="10">(B17/B13)</f>
        <v>0.62450592885375489</v>
      </c>
      <c r="C48" s="1266">
        <f>(C17/C13)</f>
        <v>0.10719804506414633</v>
      </c>
      <c r="D48" s="1267">
        <f>(D17/D13)</f>
        <v>9.878277153558053E-2</v>
      </c>
      <c r="E48" s="1267">
        <f t="shared" si="9"/>
        <v>0.10299040829986343</v>
      </c>
      <c r="F48" s="1267">
        <f t="shared" si="1"/>
        <v>0.41524337272674089</v>
      </c>
    </row>
    <row r="49" spans="1:6" ht="13.15">
      <c r="A49" s="1230" t="s">
        <v>183</v>
      </c>
      <c r="B49" s="1268">
        <f>(B14)/B13</f>
        <v>0</v>
      </c>
      <c r="C49" s="1268">
        <f>(C14)/C13</f>
        <v>1.0960577856039102E-2</v>
      </c>
      <c r="D49" s="1269">
        <f>(D14)/D13</f>
        <v>1.0533707865168539E-2</v>
      </c>
      <c r="E49" s="1269">
        <f t="shared" si="9"/>
        <v>1.074714286060382E-2</v>
      </c>
      <c r="F49" s="1269">
        <f t="shared" si="1"/>
        <v>1.074714286060382E-2</v>
      </c>
    </row>
    <row r="50" spans="1:6" ht="13.15">
      <c r="A50" s="1230" t="s">
        <v>184</v>
      </c>
      <c r="B50" s="1268">
        <f t="shared" ref="B50" si="11">(B25+B29)/B13</f>
        <v>0.13833992094861661</v>
      </c>
      <c r="C50" s="1268">
        <f>(C25+C29)/C13</f>
        <v>0.86452007043518886</v>
      </c>
      <c r="D50" s="1269">
        <f>(D25+D29)/D13</f>
        <v>0.86871878901373278</v>
      </c>
      <c r="E50" s="1269">
        <f t="shared" si="9"/>
        <v>0.86661942972446082</v>
      </c>
      <c r="F50" s="1269">
        <f t="shared" si="1"/>
        <v>0.93578939019876906</v>
      </c>
    </row>
    <row r="51" spans="1:6" ht="13.15">
      <c r="A51" s="1230" t="s">
        <v>185</v>
      </c>
      <c r="B51" s="1268">
        <f t="shared" ref="B51" si="12">(B33+B37)/B13</f>
        <v>7.5098814229249009E-2</v>
      </c>
      <c r="C51" s="1268">
        <f>(C33+C37)/C13</f>
        <v>4.1326768965393315E-3</v>
      </c>
      <c r="D51" s="1269">
        <f>(D33+D37)/D13</f>
        <v>6.2421972534332073E-3</v>
      </c>
      <c r="E51" s="1269">
        <f t="shared" si="9"/>
        <v>5.1874370749862694E-3</v>
      </c>
      <c r="F51" s="1269">
        <f t="shared" si="1"/>
        <v>4.2736844189610775E-2</v>
      </c>
    </row>
    <row r="52" spans="1:6" ht="13.5" thickBot="1">
      <c r="A52" s="1238" t="s">
        <v>186</v>
      </c>
      <c r="B52" s="1270">
        <f t="shared" ref="B52:D52" si="13">(B45+B41)/B13</f>
        <v>0.58893280632411071</v>
      </c>
      <c r="C52" s="1270">
        <f t="shared" si="13"/>
        <v>0.12886764653034821</v>
      </c>
      <c r="D52" s="1271">
        <f t="shared" si="13"/>
        <v>0.12258114856429463</v>
      </c>
      <c r="E52" s="1271">
        <f t="shared" si="9"/>
        <v>0.12572439754732143</v>
      </c>
      <c r="F52" s="1271">
        <f t="shared" si="1"/>
        <v>0.42019080070937675</v>
      </c>
    </row>
    <row r="53" spans="1:6" ht="13.15">
      <c r="A53" s="1230" t="s">
        <v>187</v>
      </c>
      <c r="B53" s="1247"/>
      <c r="C53" s="1247"/>
      <c r="D53" s="1272"/>
      <c r="E53" s="1269"/>
      <c r="F53" s="1269"/>
    </row>
    <row r="54" spans="1:6" ht="13.15">
      <c r="A54" s="1230" t="s">
        <v>172</v>
      </c>
      <c r="B54" s="1234">
        <v>37</v>
      </c>
      <c r="C54" s="1256">
        <v>245.12431761277873</v>
      </c>
      <c r="D54" s="1234">
        <v>219.17572698212129</v>
      </c>
      <c r="E54" s="1237">
        <f t="shared" si="9"/>
        <v>232.15002229744999</v>
      </c>
      <c r="F54" s="1237">
        <f t="shared" si="1"/>
        <v>250.65002229744999</v>
      </c>
    </row>
    <row r="55" spans="1:6" ht="13.15">
      <c r="A55" s="1230" t="s">
        <v>188</v>
      </c>
      <c r="B55" s="1234">
        <v>191</v>
      </c>
      <c r="C55" s="1256">
        <v>1860.1632613168313</v>
      </c>
      <c r="D55" s="1234">
        <v>1823.8551566726521</v>
      </c>
      <c r="E55" s="1237">
        <f t="shared" si="9"/>
        <v>1842.0092089947416</v>
      </c>
      <c r="F55" s="1237">
        <f t="shared" si="1"/>
        <v>1937.5092089947416</v>
      </c>
    </row>
    <row r="56" spans="1:6" ht="13.15">
      <c r="A56" s="1230" t="s">
        <v>173</v>
      </c>
      <c r="B56" s="1234">
        <v>0</v>
      </c>
      <c r="C56" s="1256">
        <v>31.292466078227068</v>
      </c>
      <c r="D56" s="1256">
        <v>35.659542882011799</v>
      </c>
      <c r="E56" s="1231">
        <f t="shared" si="9"/>
        <v>33.476004480119435</v>
      </c>
      <c r="F56" s="1237">
        <f t="shared" si="1"/>
        <v>33.476004480119435</v>
      </c>
    </row>
    <row r="57" spans="1:6" ht="13.5" thickBot="1">
      <c r="A57" s="1238" t="s">
        <v>174</v>
      </c>
      <c r="B57" s="1273">
        <f>B55-B56</f>
        <v>191</v>
      </c>
      <c r="C57" s="1273">
        <f>C55-C56</f>
        <v>1828.8707952386042</v>
      </c>
      <c r="D57" s="1237">
        <f>D55-D56</f>
        <v>1788.1956137906404</v>
      </c>
      <c r="E57" s="1273">
        <f t="shared" si="9"/>
        <v>1808.5332045146224</v>
      </c>
      <c r="F57" s="1274">
        <f t="shared" si="1"/>
        <v>1904.0332045146224</v>
      </c>
    </row>
    <row r="58" spans="1:6" ht="13.15">
      <c r="A58" s="1230" t="s">
        <v>189</v>
      </c>
      <c r="B58" s="1247"/>
      <c r="C58" s="1247"/>
      <c r="D58" s="1275"/>
      <c r="E58" s="1269"/>
      <c r="F58" s="1269"/>
    </row>
    <row r="59" spans="1:6" ht="13.15">
      <c r="A59" s="1230" t="s">
        <v>172</v>
      </c>
      <c r="B59" s="1234">
        <v>50</v>
      </c>
      <c r="C59" s="1234">
        <v>59.977226649935218</v>
      </c>
      <c r="D59" s="1264">
        <v>54.793931745530323</v>
      </c>
      <c r="E59" s="1237">
        <f t="shared" si="9"/>
        <v>57.385579197732767</v>
      </c>
      <c r="F59" s="1237">
        <f t="shared" si="1"/>
        <v>82.385579197732767</v>
      </c>
    </row>
    <row r="60" spans="1:6" ht="13.15">
      <c r="A60" s="1230" t="s">
        <v>173</v>
      </c>
      <c r="B60" s="1234">
        <v>0</v>
      </c>
      <c r="C60" s="1234">
        <v>0</v>
      </c>
      <c r="D60" s="1264">
        <v>4.3487247417087556</v>
      </c>
      <c r="E60" s="1237">
        <f t="shared" si="9"/>
        <v>2.1743623708543778</v>
      </c>
      <c r="F60" s="1237">
        <f t="shared" si="1"/>
        <v>2.1743623708543778</v>
      </c>
    </row>
    <row r="61" spans="1:6" ht="13.5" thickBot="1">
      <c r="A61" s="1238" t="s">
        <v>174</v>
      </c>
      <c r="B61" s="1273">
        <f>B59-B60</f>
        <v>50</v>
      </c>
      <c r="C61" s="1273">
        <f>C59-C60</f>
        <v>59.977226649935218</v>
      </c>
      <c r="D61" s="1274">
        <f>D59-D60</f>
        <v>50.445207003821565</v>
      </c>
      <c r="E61" s="1273">
        <f t="shared" si="9"/>
        <v>55.211216826878392</v>
      </c>
      <c r="F61" s="1274">
        <f t="shared" si="1"/>
        <v>80.211216826878399</v>
      </c>
    </row>
    <row r="62" spans="1:6" ht="13.15">
      <c r="A62" s="1230" t="s">
        <v>190</v>
      </c>
      <c r="B62" s="1247"/>
      <c r="C62" s="1247"/>
      <c r="D62" s="1247"/>
      <c r="E62" s="1248"/>
      <c r="F62" s="1248"/>
    </row>
    <row r="63" spans="1:6" ht="13.15">
      <c r="A63" s="1230" t="s">
        <v>191</v>
      </c>
      <c r="B63" s="1234">
        <v>15</v>
      </c>
      <c r="C63" s="1259">
        <v>1034.1961051239257</v>
      </c>
      <c r="D63" s="1234">
        <v>807.13439715161223</v>
      </c>
      <c r="E63" s="1237">
        <f t="shared" si="9"/>
        <v>920.66525113776902</v>
      </c>
      <c r="F63" s="1237">
        <f t="shared" si="1"/>
        <v>928.16525113776902</v>
      </c>
    </row>
    <row r="64" spans="1:6" ht="13.15">
      <c r="A64" s="1230" t="s">
        <v>173</v>
      </c>
      <c r="B64" s="1234">
        <v>0</v>
      </c>
      <c r="C64" s="1259">
        <v>0</v>
      </c>
      <c r="D64" s="1265">
        <v>0</v>
      </c>
      <c r="E64" s="1237">
        <f t="shared" si="9"/>
        <v>0</v>
      </c>
      <c r="F64" s="1237">
        <f t="shared" si="1"/>
        <v>0</v>
      </c>
    </row>
    <row r="65" spans="1:6" ht="13.15">
      <c r="A65" s="1230" t="s">
        <v>174</v>
      </c>
      <c r="B65" s="1244">
        <f>B63-B64</f>
        <v>15</v>
      </c>
      <c r="C65" s="1245">
        <f>C63-C64</f>
        <v>1034.1961051239257</v>
      </c>
      <c r="D65" s="1245">
        <f>D63-D64</f>
        <v>807.13439715161223</v>
      </c>
      <c r="E65" s="1245">
        <f t="shared" si="9"/>
        <v>920.66525113776902</v>
      </c>
      <c r="F65" s="1245">
        <f t="shared" si="1"/>
        <v>928.16525113776902</v>
      </c>
    </row>
    <row r="66" spans="1:6" ht="13.15">
      <c r="A66" s="1276" t="s">
        <v>192</v>
      </c>
      <c r="B66" s="1234">
        <v>109</v>
      </c>
      <c r="C66" s="1259">
        <v>10305.631598315671</v>
      </c>
      <c r="D66" s="1234">
        <v>8643.1017455877663</v>
      </c>
      <c r="E66" s="1237">
        <f t="shared" si="9"/>
        <v>9474.3666719517187</v>
      </c>
      <c r="F66" s="1237">
        <f t="shared" si="1"/>
        <v>9528.8666719517187</v>
      </c>
    </row>
    <row r="67" spans="1:6" ht="13.15">
      <c r="A67" s="1230" t="s">
        <v>173</v>
      </c>
      <c r="B67" s="1234">
        <v>0</v>
      </c>
      <c r="C67" s="1259">
        <v>0</v>
      </c>
      <c r="D67" s="1234">
        <v>0</v>
      </c>
      <c r="E67" s="1237">
        <f t="shared" si="9"/>
        <v>0</v>
      </c>
      <c r="F67" s="1237">
        <f t="shared" si="1"/>
        <v>0</v>
      </c>
    </row>
    <row r="68" spans="1:6" ht="13.15">
      <c r="A68" s="1230" t="s">
        <v>174</v>
      </c>
      <c r="B68" s="1231">
        <f>B66-B67</f>
        <v>109</v>
      </c>
      <c r="C68" s="1231">
        <f>C66-C67</f>
        <v>10305.631598315671</v>
      </c>
      <c r="D68" s="1231">
        <f>D66-D67</f>
        <v>8643.1017455877663</v>
      </c>
      <c r="E68" s="1237">
        <f t="shared" si="9"/>
        <v>9474.3666719517187</v>
      </c>
      <c r="F68" s="1237">
        <f t="shared" si="1"/>
        <v>9528.8666719517187</v>
      </c>
    </row>
    <row r="69" spans="1:6" ht="13.15">
      <c r="A69" s="1276" t="s">
        <v>193</v>
      </c>
      <c r="B69" s="1277">
        <f t="shared" ref="B69:D69" si="14">B66/B63</f>
        <v>7.2666666666666666</v>
      </c>
      <c r="C69" s="1277">
        <f t="shared" si="14"/>
        <v>9.9648717948717938</v>
      </c>
      <c r="D69" s="1277">
        <f t="shared" si="14"/>
        <v>10.708379888268155</v>
      </c>
      <c r="E69" s="1277">
        <f t="shared" si="9"/>
        <v>10.336625841569974</v>
      </c>
      <c r="F69" s="1278">
        <f t="shared" si="1"/>
        <v>13.969959174903307</v>
      </c>
    </row>
    <row r="70" spans="1:6" ht="13.5" thickBot="1">
      <c r="A70" s="1238" t="s">
        <v>194</v>
      </c>
      <c r="B70" s="1279">
        <f t="shared" ref="B70:D70" si="15">(B66/B10)</f>
        <v>6.9206349206349202E-2</v>
      </c>
      <c r="C70" s="1279">
        <f t="shared" si="15"/>
        <v>3.5290758937550452E-2</v>
      </c>
      <c r="D70" s="1279">
        <f t="shared" si="15"/>
        <v>3.1693450242440219E-2</v>
      </c>
      <c r="E70" s="1279">
        <f t="shared" si="9"/>
        <v>3.3492104589995339E-2</v>
      </c>
      <c r="F70" s="1280">
        <f t="shared" si="1"/>
        <v>6.8095279193169933E-2</v>
      </c>
    </row>
    <row r="71" spans="1:6" ht="12.75">
      <c r="B71" s="1281"/>
      <c r="C71" s="1281"/>
      <c r="D71" s="1281"/>
    </row>
  </sheetData>
  <mergeCells count="2">
    <mergeCell ref="A1:F1"/>
    <mergeCell ref="A2: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39997558519241921"/>
    <pageSetUpPr fitToPage="1"/>
  </sheetPr>
  <dimension ref="A1:DS93"/>
  <sheetViews>
    <sheetView zoomScale="110" zoomScaleNormal="110" workbookViewId="0">
      <pane xSplit="5550" ySplit="1530" topLeftCell="E1" activePane="topRight"/>
      <selection pane="topRight" activeCell="I1" sqref="I1:M1048576"/>
      <selection pane="bottomLeft" activeCell="CK13" sqref="CK13"/>
      <selection pane="bottomRight" activeCell="J2" sqref="J2:M2"/>
    </sheetView>
  </sheetViews>
  <sheetFormatPr defaultColWidth="10.86328125" defaultRowHeight="15"/>
  <cols>
    <col min="1" max="1" width="4.3984375" style="2" customWidth="1"/>
    <col min="2" max="2" width="44.265625" style="2" customWidth="1"/>
    <col min="3" max="3" width="18.86328125" style="31" customWidth="1"/>
    <col min="4" max="4" width="18.3984375" style="2" hidden="1" customWidth="1"/>
    <col min="5" max="5" width="32.3984375" style="29" customWidth="1"/>
    <col min="6" max="6" width="32.1328125" style="29" customWidth="1"/>
    <col min="7" max="7" width="17.3984375" style="29" customWidth="1"/>
    <col min="8" max="8" width="10.86328125" style="155" customWidth="1"/>
    <col min="9" max="9" width="11.265625" style="2" hidden="1" customWidth="1"/>
    <col min="10" max="10" width="17" style="2" hidden="1" customWidth="1"/>
    <col min="11" max="11" width="14" style="2" hidden="1" customWidth="1"/>
    <col min="12" max="12" width="13.59765625" style="909" hidden="1" customWidth="1"/>
    <col min="13" max="13" width="19.3984375" style="2" hidden="1" customWidth="1"/>
    <col min="14" max="16384" width="10.86328125" style="2"/>
  </cols>
  <sheetData>
    <row r="1" spans="2:55" s="1" customFormat="1" ht="21.75" customHeight="1" thickBot="1">
      <c r="B1" s="693" t="s">
        <v>195</v>
      </c>
      <c r="C1" s="346"/>
      <c r="D1" s="344"/>
      <c r="E1" s="288"/>
      <c r="F1" s="293" t="s">
        <v>124</v>
      </c>
      <c r="G1" s="343"/>
      <c r="H1" s="1296"/>
      <c r="L1" s="91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spans="2:55" ht="13.5" customHeight="1" thickBot="1">
      <c r="B2" s="296" t="s">
        <v>10</v>
      </c>
      <c r="C2" s="1094" t="str">
        <f>'4Yr Projection'!C2</f>
        <v>2016-17</v>
      </c>
      <c r="D2" s="1059" t="str">
        <f>'4Yr Projection'!D2</f>
        <v>YTD 2017-18</v>
      </c>
      <c r="E2" s="293" t="s">
        <v>196</v>
      </c>
      <c r="F2" s="293" t="s">
        <v>141</v>
      </c>
      <c r="G2" s="341" t="s">
        <v>63</v>
      </c>
      <c r="H2" s="1366" t="s">
        <v>64</v>
      </c>
      <c r="J2" s="1452" t="s">
        <v>197</v>
      </c>
      <c r="K2" s="1453"/>
      <c r="L2" s="1453"/>
      <c r="M2" s="1454"/>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row>
    <row r="3" spans="2:55" ht="16.5" customHeight="1" thickBot="1">
      <c r="B3" s="297"/>
      <c r="C3" s="326" t="str">
        <f>'4Yr Projection'!C3</f>
        <v>Actual</v>
      </c>
      <c r="D3" s="345">
        <f>'4Yr Projection'!D3</f>
        <v>43008</v>
      </c>
      <c r="E3" s="337" t="str">
        <f>'[6]Revenue &amp; Investments'!$E$3</f>
        <v>Approved Operating Budget</v>
      </c>
      <c r="F3" s="337" t="s">
        <v>198</v>
      </c>
      <c r="G3" s="342" t="s">
        <v>65</v>
      </c>
      <c r="H3" s="1367" t="s">
        <v>66</v>
      </c>
      <c r="I3" s="29"/>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row>
    <row r="4" spans="2:55" ht="4.5" customHeight="1" thickBot="1">
      <c r="B4" s="378"/>
      <c r="C4" s="468"/>
      <c r="D4" s="473"/>
      <c r="E4" s="6"/>
      <c r="F4" s="6"/>
      <c r="G4" s="6"/>
      <c r="H4" s="1297"/>
      <c r="I4" s="29"/>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row>
    <row r="5" spans="2:55" s="13" customFormat="1" ht="24.4">
      <c r="B5" s="8"/>
      <c r="C5" s="469"/>
      <c r="D5" s="474"/>
      <c r="E5" s="218"/>
      <c r="F5" s="218"/>
      <c r="G5" s="218"/>
      <c r="H5" s="1298"/>
      <c r="I5" s="1083"/>
      <c r="J5" s="139" t="s">
        <v>199</v>
      </c>
      <c r="K5" s="140"/>
      <c r="L5" s="912" t="s">
        <v>200</v>
      </c>
      <c r="M5" s="140"/>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row>
    <row r="6" spans="2:55" ht="5.25" customHeight="1">
      <c r="B6" s="3"/>
      <c r="C6" s="470"/>
      <c r="D6" s="440"/>
      <c r="E6" s="217"/>
      <c r="F6" s="1294"/>
      <c r="G6" s="217"/>
      <c r="H6" s="1299"/>
      <c r="I6" s="929"/>
      <c r="J6" s="799"/>
      <c r="K6" s="19"/>
      <c r="L6" s="913"/>
      <c r="M6" s="800"/>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row>
    <row r="7" spans="2:55" ht="24" customHeight="1" thickBot="1">
      <c r="B7" s="8" t="s">
        <v>201</v>
      </c>
      <c r="C7" s="471"/>
      <c r="D7" s="1295"/>
      <c r="E7" s="218"/>
      <c r="F7" s="217"/>
      <c r="G7" s="217"/>
      <c r="H7" s="1300"/>
      <c r="I7" s="1061" t="s">
        <v>202</v>
      </c>
      <c r="J7" s="1285">
        <f>F9</f>
        <v>160308.87935999999</v>
      </c>
      <c r="K7" s="801"/>
      <c r="L7" s="914"/>
      <c r="M7" s="915"/>
    </row>
    <row r="8" spans="2:55" s="15" customFormat="1" ht="23.25" customHeight="1" thickBot="1">
      <c r="B8" s="589" t="s">
        <v>203</v>
      </c>
      <c r="C8" s="379"/>
      <c r="D8" s="380"/>
      <c r="E8" s="217"/>
      <c r="F8" s="478"/>
      <c r="G8" s="217"/>
      <c r="H8" s="1300"/>
      <c r="I8" s="1062" t="s">
        <v>124</v>
      </c>
      <c r="J8" s="1286">
        <f>F10</f>
        <v>65042.943784511997</v>
      </c>
      <c r="K8" s="142"/>
      <c r="L8" s="914" t="str">
        <f>I8</f>
        <v>2018-19</v>
      </c>
      <c r="M8" s="1292">
        <f>(F22+F26+F35+F39)</f>
        <v>167578.91440000001</v>
      </c>
    </row>
    <row r="9" spans="2:55" ht="18" customHeight="1" thickBot="1">
      <c r="B9" s="487" t="s">
        <v>204</v>
      </c>
      <c r="C9" s="488">
        <f>'[7]REV&amp;EXP'!$G$10</f>
        <v>136957.16</v>
      </c>
      <c r="D9" s="489">
        <f>[6]Administration!$D$12</f>
        <v>26573</v>
      </c>
      <c r="E9" s="490">
        <f>[8]Administration!$F$12</f>
        <v>157165.568</v>
      </c>
      <c r="F9" s="1293">
        <f>(E9*2%)+E9</f>
        <v>160308.87935999999</v>
      </c>
      <c r="G9" s="490">
        <f>+F9-E9</f>
        <v>3143.3113599999924</v>
      </c>
      <c r="H9" s="1301">
        <f>+G9/E9</f>
        <v>1.9999999999999952E-2</v>
      </c>
      <c r="I9" s="185"/>
      <c r="J9" s="1286">
        <f>F11</f>
        <v>59537.4</v>
      </c>
      <c r="K9" s="143"/>
      <c r="L9" s="914" t="str">
        <f>I13</f>
        <v>2019-20</v>
      </c>
      <c r="M9" s="1292">
        <f>(M8*0.02)+M8</f>
        <v>170930.492688</v>
      </c>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row>
    <row r="10" spans="2:55" customFormat="1" ht="30.4" thickBot="1">
      <c r="B10" s="797" t="s">
        <v>205</v>
      </c>
      <c r="C10" s="410">
        <f>'[7]REV&amp;EXP'!$G$13+'[7]REV&amp;EXP'!$G$14+'[7]REV&amp;EXP'!$G$15+'[7]REV&amp;EXP'!$G$17+'[7]REV&amp;EXP'!$G$18+'[7]REV&amp;EXP'!$G$19+'[7]REV&amp;EXP'!$G$20</f>
        <v>40340.18</v>
      </c>
      <c r="D10" s="411">
        <f>[6]Administration!$D$13</f>
        <v>12042</v>
      </c>
      <c r="E10" s="253">
        <f>[8]Administration!$F$13</f>
        <v>63767.591945599997</v>
      </c>
      <c r="F10" s="1293">
        <f>(E10*2%)+E10</f>
        <v>65042.943784511997</v>
      </c>
      <c r="G10" s="253">
        <f>+F10-E10</f>
        <v>1275.3518389119999</v>
      </c>
      <c r="H10" s="1300">
        <f>+G10/E10</f>
        <v>0.02</v>
      </c>
      <c r="I10" s="185"/>
      <c r="J10" s="1287">
        <f>SUM(J7:J9)</f>
        <v>284889.22314451198</v>
      </c>
      <c r="K10" s="142"/>
      <c r="L10" s="914" t="str">
        <f>I18</f>
        <v>2020-21</v>
      </c>
      <c r="M10" s="1292">
        <f>(M9*0.02)+M9</f>
        <v>174349.10254175999</v>
      </c>
    </row>
    <row r="11" spans="2:55">
      <c r="B11" s="487" t="s">
        <v>206</v>
      </c>
      <c r="C11" s="488">
        <f>'[7]REV&amp;EXP'!$G$9</f>
        <v>45628.44</v>
      </c>
      <c r="D11" s="489">
        <f>[6]Administration!$D$14</f>
        <v>9929</v>
      </c>
      <c r="E11" s="490">
        <f>[8]Administration!$F$14</f>
        <v>58370</v>
      </c>
      <c r="F11" s="1293">
        <f>(E11*2%)+E11</f>
        <v>59537.4</v>
      </c>
      <c r="G11" s="490">
        <f>+F11-E11</f>
        <v>1167.4000000000015</v>
      </c>
      <c r="H11" s="1301">
        <f>+G11/E11</f>
        <v>2.0000000000000025E-2</v>
      </c>
      <c r="I11" s="1063" t="s">
        <v>207</v>
      </c>
      <c r="J11" s="917"/>
      <c r="K11" s="1289">
        <f>+M8+J10</f>
        <v>452468.13754451199</v>
      </c>
      <c r="L11" s="913" t="s">
        <v>134</v>
      </c>
      <c r="M11" s="1292">
        <f>(M10*0.02)+M10</f>
        <v>177836.0845925952</v>
      </c>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row>
    <row r="12" spans="2:55" s="184" customFormat="1" ht="16.5" customHeight="1">
      <c r="B12" s="547" t="s">
        <v>208</v>
      </c>
      <c r="C12" s="562">
        <f>SUM(C9:C11)</f>
        <v>222925.78</v>
      </c>
      <c r="D12" s="549">
        <f>SUM(D9:D11)</f>
        <v>48544</v>
      </c>
      <c r="E12" s="550">
        <f>SUM(E9:E11)</f>
        <v>279303.15994559997</v>
      </c>
      <c r="F12" s="551">
        <f>SUM(F9:F11)</f>
        <v>284889.22314451198</v>
      </c>
      <c r="G12" s="550">
        <f>+F12-E12</f>
        <v>5586.0631989120157</v>
      </c>
      <c r="H12" s="1302">
        <f>+G12/E12</f>
        <v>2.0000000000000059E-2</v>
      </c>
      <c r="I12" s="1064" t="s">
        <v>202</v>
      </c>
      <c r="J12" s="1194">
        <f>(J7*2%)+J7</f>
        <v>163515.05694719998</v>
      </c>
      <c r="K12" s="1290"/>
      <c r="L12" s="913"/>
      <c r="M12" s="918"/>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row>
    <row r="13" spans="2:55" s="26" customFormat="1" ht="41.25" customHeight="1" thickBot="1">
      <c r="B13" s="476"/>
      <c r="C13" s="452"/>
      <c r="D13" s="467"/>
      <c r="E13" s="466"/>
      <c r="F13" s="431"/>
      <c r="G13" s="220"/>
      <c r="H13" s="1303"/>
      <c r="I13" s="1062" t="s">
        <v>129</v>
      </c>
      <c r="J13" s="1286">
        <f>(J8*2%)+J8</f>
        <v>66343.802660202244</v>
      </c>
      <c r="K13" s="1290"/>
      <c r="L13" s="913"/>
      <c r="M13" s="919"/>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row>
    <row r="14" spans="2:55" s="184" customFormat="1" ht="20.25" customHeight="1">
      <c r="B14" s="512" t="s">
        <v>209</v>
      </c>
      <c r="C14" s="379"/>
      <c r="D14" s="380"/>
      <c r="E14" s="217"/>
      <c r="F14" s="424"/>
      <c r="G14" s="217"/>
      <c r="H14" s="1304"/>
      <c r="I14" s="185"/>
      <c r="J14" s="1286">
        <f>(J9*2%)+J9</f>
        <v>60728.148000000001</v>
      </c>
      <c r="K14" s="1291"/>
      <c r="L14" s="913"/>
      <c r="M14" s="919"/>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row>
    <row r="15" spans="2:55" s="15" customFormat="1">
      <c r="B15" s="487" t="s">
        <v>210</v>
      </c>
      <c r="C15" s="488">
        <f>'[7]REV&amp;EXP'!$G$29</f>
        <v>59.69</v>
      </c>
      <c r="D15" s="489">
        <f>[6]Administration!$D$18</f>
        <v>137</v>
      </c>
      <c r="E15" s="490">
        <f>[8]Administration!$F$18</f>
        <v>910</v>
      </c>
      <c r="F15" s="1293">
        <f>(E15*2%)+E15</f>
        <v>928.2</v>
      </c>
      <c r="G15" s="490">
        <f t="shared" ref="G15:G22" si="0">+F15-E15</f>
        <v>18.200000000000045</v>
      </c>
      <c r="H15" s="1301">
        <f t="shared" ref="H15:H22" si="1">+G15/E15</f>
        <v>2.0000000000000049E-2</v>
      </c>
      <c r="I15" s="185"/>
      <c r="J15" s="1288">
        <f>SUM(J12:J14)</f>
        <v>290587.00760740222</v>
      </c>
      <c r="K15" s="1290"/>
      <c r="L15" s="913"/>
      <c r="M15" s="919"/>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row>
    <row r="16" spans="2:55" s="200" customFormat="1" ht="16.5" customHeight="1" thickBot="1">
      <c r="B16" s="748" t="s">
        <v>211</v>
      </c>
      <c r="C16" s="749">
        <f>'[7]REV&amp;EXP'!$G$40</f>
        <v>2495.56</v>
      </c>
      <c r="D16" s="750">
        <f>[6]Administration!$D$19</f>
        <v>500</v>
      </c>
      <c r="E16" s="751">
        <f>[8]Administration!$F$19</f>
        <v>983.33333333333326</v>
      </c>
      <c r="F16" s="1293">
        <f t="shared" ref="F16:F20" si="2">(E16*2%)+E16</f>
        <v>1002.9999999999999</v>
      </c>
      <c r="G16" s="751">
        <f t="shared" si="0"/>
        <v>19.666666666666629</v>
      </c>
      <c r="H16" s="1305">
        <f t="shared" si="1"/>
        <v>1.9999999999999962E-2</v>
      </c>
      <c r="I16" s="186" t="s">
        <v>207</v>
      </c>
      <c r="J16" s="916"/>
      <c r="K16" s="1290">
        <f>+M9+J15</f>
        <v>461517.50029540225</v>
      </c>
      <c r="L16" s="913"/>
      <c r="M16" s="91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row>
    <row r="17" spans="1:55">
      <c r="B17" s="487" t="s">
        <v>212</v>
      </c>
      <c r="C17" s="488">
        <f>'[7]REV&amp;EXP'!$G$39</f>
        <v>1540.74</v>
      </c>
      <c r="D17" s="489">
        <f>[6]Administration!$D$20</f>
        <v>816</v>
      </c>
      <c r="E17" s="490">
        <f>[8]Administration!$F$20</f>
        <v>3360</v>
      </c>
      <c r="F17" s="1293">
        <f t="shared" si="2"/>
        <v>3427.2</v>
      </c>
      <c r="G17" s="490">
        <f t="shared" si="0"/>
        <v>67.199999999999818</v>
      </c>
      <c r="H17" s="1301">
        <f t="shared" si="1"/>
        <v>1.9999999999999945E-2</v>
      </c>
      <c r="I17" s="1065" t="s">
        <v>202</v>
      </c>
      <c r="J17" s="1194">
        <f>(J12*2%)+J12</f>
        <v>166785.35808614397</v>
      </c>
      <c r="K17" s="1290"/>
      <c r="L17" s="913"/>
      <c r="M17" s="919"/>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1:55" ht="18" customHeight="1" thickBot="1">
      <c r="A18" s="26"/>
      <c r="B18" s="487" t="s">
        <v>213</v>
      </c>
      <c r="C18" s="488">
        <f>'[7]REV&amp;EXP'!$G$33+'[7]REV&amp;EXP'!$G$34+'[7]REV&amp;EXP'!$G$35+'[7]REV&amp;EXP'!$G$36</f>
        <v>20395.82</v>
      </c>
      <c r="D18" s="489">
        <f>[6]Administration!$D$22</f>
        <v>3304</v>
      </c>
      <c r="E18" s="490">
        <f>[8]Administration!$F$22</f>
        <v>6030</v>
      </c>
      <c r="F18" s="1293">
        <f t="shared" si="2"/>
        <v>6150.6</v>
      </c>
      <c r="G18" s="490">
        <f t="shared" si="0"/>
        <v>120.60000000000036</v>
      </c>
      <c r="H18" s="1301">
        <f t="shared" si="1"/>
        <v>2.0000000000000059E-2</v>
      </c>
      <c r="I18" s="1062" t="s">
        <v>132</v>
      </c>
      <c r="J18" s="1194">
        <f>(J13*2%)+J13</f>
        <v>67670.678713406291</v>
      </c>
      <c r="K18" s="1290"/>
      <c r="L18" s="920"/>
      <c r="M18" s="921"/>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1:55" s="26" customFormat="1" ht="30" customHeight="1">
      <c r="B19" s="697" t="s">
        <v>214</v>
      </c>
      <c r="C19" s="410">
        <f>'[7]REV&amp;EXP'!$G$22</f>
        <v>1396.88</v>
      </c>
      <c r="D19" s="411">
        <f>[6]Administration!$D$23</f>
        <v>4405</v>
      </c>
      <c r="E19" s="253">
        <f>[8]Administration!$F$23</f>
        <v>4050</v>
      </c>
      <c r="F19" s="1293">
        <f t="shared" si="2"/>
        <v>4131</v>
      </c>
      <c r="G19" s="253">
        <f t="shared" si="0"/>
        <v>81</v>
      </c>
      <c r="H19" s="1300">
        <f t="shared" si="1"/>
        <v>0.02</v>
      </c>
      <c r="I19" s="185"/>
      <c r="J19" s="1286">
        <f>(J14*2%)+J14</f>
        <v>61942.710960000004</v>
      </c>
      <c r="K19" s="1290"/>
      <c r="L19" s="922"/>
      <c r="M19" s="923"/>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row>
    <row r="20" spans="1:55" s="26" customFormat="1" ht="17.25" customHeight="1">
      <c r="B20" s="781" t="s">
        <v>215</v>
      </c>
      <c r="C20" s="782">
        <f>'[7]REV&amp;EXP'!$G$38</f>
        <v>6158.88</v>
      </c>
      <c r="D20" s="783">
        <f>[6]Administration!$D$25</f>
        <v>543</v>
      </c>
      <c r="E20" s="784">
        <f>[8]Administration!$F$25</f>
        <v>7105</v>
      </c>
      <c r="F20" s="1293">
        <f t="shared" si="2"/>
        <v>7247.1</v>
      </c>
      <c r="G20" s="784">
        <f t="shared" si="0"/>
        <v>142.10000000000036</v>
      </c>
      <c r="H20" s="1306">
        <f t="shared" si="1"/>
        <v>2.0000000000000052E-2</v>
      </c>
      <c r="I20" s="185"/>
      <c r="J20" s="1288">
        <f>SUM(J17:J19)</f>
        <v>296398.74775955029</v>
      </c>
      <c r="K20" s="1290"/>
      <c r="L20" s="922"/>
      <c r="M20" s="923"/>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row>
    <row r="21" spans="1:55" s="26" customFormat="1" ht="18.75" customHeight="1" thickBot="1">
      <c r="B21" s="553" t="s">
        <v>216</v>
      </c>
      <c r="C21" s="554">
        <f>'[7]REV&amp;EXP'!$G$26</f>
        <v>5000</v>
      </c>
      <c r="D21" s="555">
        <f>[6]Administration!$D$26</f>
        <v>1250</v>
      </c>
      <c r="E21" s="556">
        <f>[8]Administration!$F$26</f>
        <v>5000</v>
      </c>
      <c r="F21" s="1293">
        <f>(E21*2%)+E21</f>
        <v>5100</v>
      </c>
      <c r="G21" s="556">
        <f t="shared" si="0"/>
        <v>100</v>
      </c>
      <c r="H21" s="1307">
        <f t="shared" si="1"/>
        <v>0.02</v>
      </c>
      <c r="I21" s="186" t="s">
        <v>207</v>
      </c>
      <c r="J21" s="916"/>
      <c r="K21" s="1290">
        <f>J20+M10</f>
        <v>470747.8503013103</v>
      </c>
      <c r="L21" s="922"/>
      <c r="M21" s="926"/>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row>
    <row r="22" spans="1:55" s="26" customFormat="1" ht="18" customHeight="1">
      <c r="B22" s="557" t="s">
        <v>217</v>
      </c>
      <c r="C22" s="558">
        <f>SUM(C14:C21)</f>
        <v>37047.57</v>
      </c>
      <c r="D22" s="559">
        <f>SUM(D14:D21)</f>
        <v>10955</v>
      </c>
      <c r="E22" s="560">
        <f>SUM(E14:E21)</f>
        <v>27438.333333333332</v>
      </c>
      <c r="F22" s="561">
        <f>SUM(F14:F21)</f>
        <v>27987.1</v>
      </c>
      <c r="G22" s="560">
        <f t="shared" si="0"/>
        <v>548.76666666666642</v>
      </c>
      <c r="H22" s="1308">
        <f t="shared" si="1"/>
        <v>1.9999999999999993E-2</v>
      </c>
      <c r="I22" s="1065" t="s">
        <v>202</v>
      </c>
      <c r="J22" s="1194">
        <f>(J17*2%)+J17</f>
        <v>170121.06524786685</v>
      </c>
      <c r="K22" s="142"/>
      <c r="L22" s="922"/>
      <c r="M22" s="926"/>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row>
    <row r="23" spans="1:55" ht="23.25" customHeight="1" thickBot="1">
      <c r="B23" s="144"/>
      <c r="C23" s="379"/>
      <c r="D23" s="380"/>
      <c r="E23" s="217"/>
      <c r="F23" s="424"/>
      <c r="G23" s="217"/>
      <c r="H23" s="1304"/>
      <c r="I23" s="1062" t="s">
        <v>134</v>
      </c>
      <c r="J23" s="1194">
        <f>(J19*2%)+J19</f>
        <v>63181.565179200006</v>
      </c>
      <c r="K23" s="142"/>
      <c r="L23" s="922"/>
      <c r="M23" s="926"/>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row>
    <row r="24" spans="1:55" ht="23.25" customHeight="1">
      <c r="B24" s="512" t="s">
        <v>218</v>
      </c>
      <c r="C24" s="379"/>
      <c r="D24" s="380"/>
      <c r="E24" s="217"/>
      <c r="F24" s="424"/>
      <c r="G24" s="217"/>
      <c r="H24" s="1304"/>
      <c r="I24" s="1183"/>
      <c r="J24" s="1194">
        <f>(J19*2%)+J19</f>
        <v>63181.565179200006</v>
      </c>
      <c r="K24" s="142"/>
      <c r="L24" s="922"/>
      <c r="M24" s="926"/>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row>
    <row r="25" spans="1:55">
      <c r="B25" s="487" t="s">
        <v>219</v>
      </c>
      <c r="C25" s="488">
        <f>'[7]REV&amp;EXP'!$G$21</f>
        <v>6583.34</v>
      </c>
      <c r="D25" s="489">
        <f>[6]Administration!$D$30</f>
        <v>0</v>
      </c>
      <c r="E25" s="490">
        <f>[8]Administration!$F$30</f>
        <v>9410</v>
      </c>
      <c r="F25" s="1293">
        <f>(E25*2%)+E25</f>
        <v>9598.2000000000007</v>
      </c>
      <c r="G25" s="490">
        <f>+F25-E25</f>
        <v>188.20000000000073</v>
      </c>
      <c r="H25" s="1309">
        <f>+G25/E25</f>
        <v>2.0000000000000077E-2</v>
      </c>
      <c r="I25" s="185"/>
      <c r="J25" s="1288">
        <f>SUM(J22:J24)</f>
        <v>296484.19560626685</v>
      </c>
      <c r="K25" s="142"/>
      <c r="L25" s="922"/>
      <c r="M25" s="9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row>
    <row r="26" spans="1:55" s="15" customFormat="1" ht="17.25" customHeight="1" thickBot="1">
      <c r="B26" s="547" t="s">
        <v>220</v>
      </c>
      <c r="C26" s="548">
        <f>SUM(C25)</f>
        <v>6583.34</v>
      </c>
      <c r="D26" s="549">
        <f>SUM(D25:D25)</f>
        <v>0</v>
      </c>
      <c r="E26" s="550">
        <f>+E25</f>
        <v>9410</v>
      </c>
      <c r="F26" s="551">
        <f>+F25</f>
        <v>9598.2000000000007</v>
      </c>
      <c r="G26" s="550">
        <f>+F26-E26</f>
        <v>188.20000000000073</v>
      </c>
      <c r="H26" s="1310">
        <f>+G26/E26</f>
        <v>2.0000000000000077E-2</v>
      </c>
      <c r="I26" s="1066" t="s">
        <v>207</v>
      </c>
      <c r="J26" s="924"/>
      <c r="K26" s="1197">
        <f>+M11+J25</f>
        <v>474320.28019886208</v>
      </c>
      <c r="L26" s="922"/>
      <c r="M26" s="9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row>
    <row r="27" spans="1:55" ht="16.5" customHeight="1">
      <c r="B27" s="147"/>
      <c r="C27" s="448"/>
      <c r="D27" s="380"/>
      <c r="E27" s="217"/>
      <c r="F27" s="424"/>
      <c r="G27" s="217"/>
      <c r="H27" s="1304"/>
      <c r="I27" s="925"/>
      <c r="J27" s="925"/>
      <c r="K27" s="925"/>
      <c r="L27" s="922"/>
      <c r="M27" s="926"/>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row>
    <row r="28" spans="1:55">
      <c r="B28" s="512" t="s">
        <v>221</v>
      </c>
      <c r="C28" s="379"/>
      <c r="D28" s="380"/>
      <c r="E28" s="217"/>
      <c r="F28" s="424"/>
      <c r="G28" s="217"/>
      <c r="H28" s="1304"/>
      <c r="I28" s="925"/>
      <c r="J28" s="925"/>
      <c r="K28" s="925"/>
      <c r="L28" s="922"/>
      <c r="M28" s="926"/>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row>
    <row r="29" spans="1:55" s="250" customFormat="1" ht="21" customHeight="1">
      <c r="B29" s="553" t="s">
        <v>222</v>
      </c>
      <c r="C29" s="554">
        <f>'[7]REV&amp;EXP'!$G$25</f>
        <v>57560</v>
      </c>
      <c r="D29" s="555">
        <f>[6]Administration!$D$34</f>
        <v>14390</v>
      </c>
      <c r="E29" s="556">
        <f>[8]Administration!$F$34</f>
        <v>57560</v>
      </c>
      <c r="F29" s="1293">
        <f>(E29*2%)+E29</f>
        <v>58711.199999999997</v>
      </c>
      <c r="G29" s="556">
        <f t="shared" ref="G29:G35" si="3">+F29-E29</f>
        <v>1151.1999999999971</v>
      </c>
      <c r="H29" s="1307">
        <f t="shared" ref="H29:H35" si="4">+G29/E29</f>
        <v>1.9999999999999948E-2</v>
      </c>
      <c r="I29" s="925"/>
      <c r="J29" s="925"/>
      <c r="K29" s="925"/>
      <c r="L29" s="922"/>
      <c r="M29" s="926"/>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3"/>
      <c r="AZ29" s="233"/>
      <c r="BA29" s="233"/>
      <c r="BB29" s="233"/>
      <c r="BC29" s="233"/>
    </row>
    <row r="30" spans="1:55" s="14" customFormat="1">
      <c r="B30" s="748" t="s">
        <v>223</v>
      </c>
      <c r="C30" s="749">
        <f>'[7]REV&amp;EXP'!$G$24</f>
        <v>19421.68</v>
      </c>
      <c r="D30" s="750">
        <f>[6]Administration!$D$35</f>
        <v>11811</v>
      </c>
      <c r="E30" s="751">
        <f>[8]Administration!$F$35</f>
        <v>21625</v>
      </c>
      <c r="F30" s="1293">
        <f t="shared" ref="F30:F34" si="5">(E30*2%)+E30</f>
        <v>22057.5</v>
      </c>
      <c r="G30" s="751">
        <f t="shared" si="3"/>
        <v>432.5</v>
      </c>
      <c r="H30" s="1305">
        <f t="shared" si="4"/>
        <v>0.02</v>
      </c>
      <c r="I30" s="925"/>
      <c r="J30" s="925"/>
      <c r="K30" s="925"/>
      <c r="L30" s="922"/>
      <c r="M30" s="925"/>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row>
    <row r="31" spans="1:55" s="18" customFormat="1" ht="16.5" customHeight="1">
      <c r="B31" s="487" t="s">
        <v>224</v>
      </c>
      <c r="C31" s="488">
        <f>'[7]REV&amp;EXP'!$G$27</f>
        <v>10796.36</v>
      </c>
      <c r="D31" s="489">
        <f>[6]Administration!$D$36</f>
        <v>0</v>
      </c>
      <c r="E31" s="490">
        <f>[8]Administration!$F$36</f>
        <v>10806.52</v>
      </c>
      <c r="F31" s="1293">
        <f t="shared" si="5"/>
        <v>11022.6504</v>
      </c>
      <c r="G31" s="490">
        <f t="shared" si="3"/>
        <v>216.13040000000001</v>
      </c>
      <c r="H31" s="1301">
        <f t="shared" si="4"/>
        <v>0.02</v>
      </c>
      <c r="I31" s="927"/>
      <c r="J31" s="928"/>
      <c r="K31" s="925"/>
      <c r="L31" s="922"/>
      <c r="M31" s="926"/>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row>
    <row r="32" spans="1:55" s="18" customFormat="1">
      <c r="B32" s="147" t="s">
        <v>225</v>
      </c>
      <c r="C32" s="448">
        <f>'[7]REV&amp;EXP'!$G$37</f>
        <v>5911</v>
      </c>
      <c r="D32" s="380">
        <f>[6]Administration!$D$37</f>
        <v>-1517</v>
      </c>
      <c r="E32" s="217">
        <f>[8]Administration!$F$37</f>
        <v>8000</v>
      </c>
      <c r="F32" s="1293">
        <f t="shared" si="5"/>
        <v>8160</v>
      </c>
      <c r="G32" s="217">
        <f t="shared" si="3"/>
        <v>160</v>
      </c>
      <c r="H32" s="1304">
        <f t="shared" si="4"/>
        <v>0.02</v>
      </c>
      <c r="I32" s="927"/>
      <c r="J32" s="928"/>
      <c r="K32" s="925"/>
      <c r="L32" s="922"/>
      <c r="M32" s="926"/>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row>
    <row r="33" spans="2:123" s="18" customFormat="1">
      <c r="B33" s="487" t="s">
        <v>226</v>
      </c>
      <c r="C33" s="488">
        <f>'[7]REV&amp;EXP'!$G$31</f>
        <v>1952.82</v>
      </c>
      <c r="D33" s="489">
        <f>[6]Administration!$D$38</f>
        <v>3442</v>
      </c>
      <c r="E33" s="490">
        <f>[8]Administration!$F$38</f>
        <v>7000</v>
      </c>
      <c r="F33" s="1293">
        <f t="shared" si="5"/>
        <v>7140</v>
      </c>
      <c r="G33" s="490">
        <f t="shared" si="3"/>
        <v>140</v>
      </c>
      <c r="H33" s="1301">
        <f t="shared" si="4"/>
        <v>0.02</v>
      </c>
      <c r="I33" s="927"/>
      <c r="J33" s="928"/>
      <c r="K33" s="925"/>
      <c r="L33" s="922"/>
      <c r="M33" s="926"/>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152"/>
      <c r="BE33" s="152"/>
      <c r="BF33" s="152"/>
      <c r="BG33" s="152"/>
      <c r="BH33" s="152"/>
      <c r="BI33" s="152"/>
      <c r="BJ33" s="152"/>
      <c r="BK33" s="152"/>
      <c r="BL33" s="152"/>
      <c r="BM33" s="152"/>
      <c r="BN33" s="152"/>
      <c r="BO33" s="152"/>
      <c r="BP33" s="152"/>
      <c r="BQ33" s="152"/>
      <c r="BR33" s="152"/>
      <c r="BS33" s="152"/>
      <c r="BT33" s="152"/>
      <c r="BU33" s="152"/>
      <c r="BV33" s="152"/>
      <c r="BW33" s="152"/>
      <c r="BX33" s="152"/>
      <c r="BY33" s="152"/>
      <c r="BZ33" s="152"/>
      <c r="CA33" s="152"/>
      <c r="CB33" s="152"/>
      <c r="CC33" s="152"/>
      <c r="CD33" s="152"/>
      <c r="CE33" s="152"/>
      <c r="CF33" s="152"/>
      <c r="CG33" s="152"/>
      <c r="CH33" s="152"/>
      <c r="CI33" s="152"/>
      <c r="CJ33" s="152"/>
      <c r="CK33" s="152"/>
      <c r="CL33" s="152"/>
      <c r="CM33" s="152"/>
      <c r="CN33" s="152"/>
      <c r="CO33" s="152"/>
      <c r="CP33" s="152"/>
      <c r="CQ33" s="152"/>
      <c r="CR33" s="152"/>
      <c r="CS33" s="152"/>
      <c r="CT33" s="152"/>
      <c r="CU33" s="152"/>
      <c r="CV33" s="152"/>
      <c r="CW33" s="152"/>
      <c r="CX33" s="152"/>
      <c r="CY33" s="152"/>
      <c r="CZ33" s="152"/>
      <c r="DA33" s="152"/>
      <c r="DB33" s="152"/>
      <c r="DC33" s="152"/>
      <c r="DD33" s="152"/>
      <c r="DE33" s="152"/>
      <c r="DF33" s="152"/>
      <c r="DG33" s="152"/>
      <c r="DH33" s="152"/>
      <c r="DI33" s="152"/>
      <c r="DJ33" s="152"/>
      <c r="DK33" s="152"/>
      <c r="DL33" s="152"/>
      <c r="DM33" s="152"/>
      <c r="DN33" s="152"/>
      <c r="DO33" s="152"/>
      <c r="DP33" s="152"/>
      <c r="DQ33" s="152"/>
      <c r="DR33" s="152"/>
      <c r="DS33" s="152"/>
    </row>
    <row r="34" spans="2:123" s="752" customFormat="1" ht="21" customHeight="1">
      <c r="B34" s="487" t="s">
        <v>227</v>
      </c>
      <c r="C34" s="488">
        <f>'[7]REV&amp;EXP'!$G$30</f>
        <v>22453.200000000001</v>
      </c>
      <c r="D34" s="489">
        <f>[6]Administration!$D$39</f>
        <v>5613</v>
      </c>
      <c r="E34" s="490">
        <f>[8]Administration!$F$39</f>
        <v>22453.200000000001</v>
      </c>
      <c r="F34" s="1293">
        <f t="shared" si="5"/>
        <v>22902.263999999999</v>
      </c>
      <c r="G34" s="490">
        <f t="shared" si="3"/>
        <v>449.06399999999849</v>
      </c>
      <c r="H34" s="1301">
        <f t="shared" si="4"/>
        <v>1.9999999999999931E-2</v>
      </c>
      <c r="I34" s="927"/>
      <c r="J34" s="928"/>
      <c r="K34" s="925"/>
      <c r="L34" s="922"/>
      <c r="M34" s="926"/>
      <c r="N34" s="767"/>
      <c r="O34" s="767"/>
      <c r="P34" s="767"/>
      <c r="Q34" s="767"/>
      <c r="R34" s="767"/>
      <c r="S34" s="767"/>
      <c r="T34" s="767"/>
      <c r="U34" s="767"/>
      <c r="V34" s="767"/>
      <c r="W34" s="767"/>
      <c r="X34" s="767"/>
      <c r="Y34" s="767"/>
      <c r="Z34" s="767"/>
      <c r="AA34" s="767"/>
      <c r="AB34" s="767"/>
      <c r="AC34" s="767"/>
      <c r="AD34" s="767"/>
      <c r="AE34" s="767"/>
      <c r="AF34" s="767"/>
      <c r="AG34" s="767"/>
      <c r="AH34" s="767"/>
      <c r="AI34" s="767"/>
      <c r="AJ34" s="767"/>
      <c r="AK34" s="767"/>
      <c r="AL34" s="767"/>
      <c r="AM34" s="767"/>
      <c r="AN34" s="767"/>
      <c r="AO34" s="767"/>
      <c r="AP34" s="767"/>
      <c r="AQ34" s="767"/>
      <c r="AR34" s="767"/>
      <c r="AS34" s="767"/>
      <c r="AT34" s="767"/>
      <c r="AU34" s="767"/>
      <c r="AV34" s="767"/>
      <c r="AW34" s="767"/>
      <c r="AX34" s="767"/>
      <c r="AY34" s="767"/>
      <c r="AZ34" s="767"/>
      <c r="BA34" s="767"/>
      <c r="BB34" s="767"/>
      <c r="BC34" s="767"/>
    </row>
    <row r="35" spans="2:123" s="152" customFormat="1" ht="18.75" customHeight="1">
      <c r="B35" s="547" t="s">
        <v>228</v>
      </c>
      <c r="C35" s="548">
        <f>SUM(C29:C34)</f>
        <v>118095.06</v>
      </c>
      <c r="D35" s="549">
        <f>SUM(D29:D34)</f>
        <v>33739</v>
      </c>
      <c r="E35" s="550">
        <f>SUM(E29:E34)</f>
        <v>127444.72</v>
      </c>
      <c r="F35" s="551">
        <f>SUM(F29:F34)</f>
        <v>129993.61439999999</v>
      </c>
      <c r="G35" s="550">
        <f t="shared" si="3"/>
        <v>2548.8943999999901</v>
      </c>
      <c r="H35" s="1302">
        <f t="shared" si="4"/>
        <v>1.9999999999999924E-2</v>
      </c>
      <c r="I35" s="15"/>
      <c r="J35" s="929"/>
      <c r="K35" s="925"/>
      <c r="L35" s="922"/>
      <c r="M35" s="925"/>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row>
    <row r="36" spans="2:123" s="152" customFormat="1">
      <c r="B36" s="147"/>
      <c r="C36" s="448"/>
      <c r="D36" s="380"/>
      <c r="E36" s="217"/>
      <c r="F36" s="424"/>
      <c r="G36" s="217"/>
      <c r="H36" s="1304"/>
      <c r="I36" s="927"/>
      <c r="J36" s="928"/>
      <c r="K36" s="925"/>
      <c r="L36" s="922"/>
      <c r="M36" s="926"/>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row>
    <row r="37" spans="2:123" s="152" customFormat="1" ht="32.25" customHeight="1">
      <c r="B37" s="512" t="s">
        <v>229</v>
      </c>
      <c r="C37" s="379"/>
      <c r="D37" s="380"/>
      <c r="E37" s="217"/>
      <c r="F37" s="424"/>
      <c r="G37" s="217"/>
      <c r="H37" s="1304"/>
      <c r="I37" s="927"/>
      <c r="J37" s="928"/>
      <c r="K37" s="925"/>
      <c r="L37" s="922"/>
      <c r="M37" s="926"/>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row>
    <row r="38" spans="2:123" s="18" customFormat="1" ht="16.5" customHeight="1">
      <c r="B38" s="768" t="s">
        <v>230</v>
      </c>
      <c r="C38" s="410">
        <f>[5]Administration!$C$43</f>
        <v>0</v>
      </c>
      <c r="D38" s="411">
        <f>[6]Administration!$D$43</f>
        <v>0</v>
      </c>
      <c r="E38" s="253">
        <f>[8]Administration!$F$43</f>
        <v>0</v>
      </c>
      <c r="F38" s="430">
        <f>E38</f>
        <v>0</v>
      </c>
      <c r="G38" s="253">
        <f>+F38-E38</f>
        <v>0</v>
      </c>
      <c r="H38" s="1311" t="e">
        <f>+G38/E38</f>
        <v>#DIV/0!</v>
      </c>
      <c r="I38" s="927"/>
      <c r="J38" s="928"/>
      <c r="K38" s="925"/>
      <c r="L38" s="922"/>
      <c r="M38" s="926"/>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152"/>
      <c r="BE38" s="152"/>
      <c r="BF38" s="152"/>
      <c r="BG38" s="152"/>
      <c r="BH38" s="152"/>
      <c r="BI38" s="152"/>
      <c r="BJ38" s="152"/>
      <c r="BK38" s="152"/>
      <c r="BL38" s="152"/>
      <c r="BM38" s="152"/>
      <c r="BN38" s="152"/>
      <c r="BO38" s="152"/>
      <c r="BP38" s="152"/>
      <c r="BQ38" s="152"/>
      <c r="BR38" s="152"/>
      <c r="BS38" s="152"/>
      <c r="BT38" s="152"/>
      <c r="BU38" s="152"/>
      <c r="BV38" s="152"/>
      <c r="BW38" s="152"/>
      <c r="BX38" s="152"/>
      <c r="BY38" s="152"/>
      <c r="BZ38" s="152"/>
      <c r="CA38" s="152"/>
      <c r="CB38" s="152"/>
      <c r="CC38" s="152"/>
      <c r="CD38" s="152"/>
      <c r="CE38" s="152"/>
      <c r="CF38" s="152"/>
      <c r="CG38" s="152"/>
      <c r="CH38" s="152"/>
      <c r="CI38" s="152"/>
      <c r="CJ38" s="152"/>
      <c r="CK38" s="152"/>
      <c r="CL38" s="152"/>
      <c r="CM38" s="152"/>
      <c r="CN38" s="152"/>
      <c r="CO38" s="152"/>
      <c r="CP38" s="152"/>
      <c r="CQ38" s="152"/>
      <c r="CR38" s="152"/>
      <c r="CS38" s="152"/>
      <c r="CT38" s="152"/>
      <c r="CU38" s="152"/>
      <c r="CV38" s="152"/>
      <c r="CW38" s="152"/>
      <c r="CX38" s="152"/>
      <c r="CY38" s="152"/>
      <c r="CZ38" s="152"/>
      <c r="DA38" s="152"/>
      <c r="DB38" s="152"/>
      <c r="DC38" s="152"/>
      <c r="DD38" s="152"/>
      <c r="DE38" s="152"/>
      <c r="DF38" s="152"/>
      <c r="DG38" s="152"/>
      <c r="DH38" s="152"/>
      <c r="DI38" s="152"/>
      <c r="DJ38" s="152"/>
      <c r="DK38" s="152"/>
      <c r="DL38" s="152"/>
      <c r="DM38" s="152"/>
      <c r="DN38" s="152"/>
      <c r="DO38" s="152"/>
      <c r="DP38" s="152"/>
      <c r="DQ38" s="152"/>
      <c r="DR38" s="152"/>
      <c r="DS38" s="152"/>
    </row>
    <row r="39" spans="2:123" s="15" customFormat="1">
      <c r="B39" s="547" t="s">
        <v>231</v>
      </c>
      <c r="C39" s="548">
        <f>SUM(C38)</f>
        <v>0</v>
      </c>
      <c r="D39" s="552">
        <f>SUM(D38)</f>
        <v>0</v>
      </c>
      <c r="E39" s="550">
        <f>SUM(E38:E38)</f>
        <v>0</v>
      </c>
      <c r="F39" s="551">
        <f>SUM(F38:F38)</f>
        <v>0</v>
      </c>
      <c r="G39" s="550">
        <f>+F39-E39</f>
        <v>0</v>
      </c>
      <c r="H39" s="1302" t="e">
        <f>+G39/E39</f>
        <v>#DIV/0!</v>
      </c>
      <c r="I39" s="927"/>
      <c r="J39" s="928"/>
      <c r="K39" s="925"/>
      <c r="L39" s="922"/>
      <c r="M39" s="926"/>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row>
    <row r="40" spans="2:123" ht="18" customHeight="1">
      <c r="B40" s="147"/>
      <c r="C40" s="448"/>
      <c r="D40" s="380"/>
      <c r="E40" s="217"/>
      <c r="F40" s="424"/>
      <c r="G40" s="217"/>
      <c r="H40" s="1304"/>
      <c r="I40" s="15"/>
      <c r="J40" s="929"/>
      <c r="K40" s="925"/>
      <c r="L40" s="922"/>
      <c r="M40" s="925"/>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row>
    <row r="41" spans="2:123">
      <c r="B41" s="547" t="s">
        <v>207</v>
      </c>
      <c r="C41" s="548">
        <f>C39+C35+C26+C22+C12</f>
        <v>384651.75</v>
      </c>
      <c r="D41" s="549">
        <f>+D39+D35+D26+D22+D11</f>
        <v>54623</v>
      </c>
      <c r="E41" s="550">
        <f>+E39+E35+E26+E22+E12</f>
        <v>443596.21327893331</v>
      </c>
      <c r="F41" s="551">
        <f>+F39+F35+F26+F22+F12</f>
        <v>452468.13754451199</v>
      </c>
      <c r="G41" s="550">
        <f>+F41-E41</f>
        <v>8871.9242655786802</v>
      </c>
      <c r="H41" s="1302">
        <f>+G41/E41</f>
        <v>2.0000000000000032E-2</v>
      </c>
      <c r="I41" s="927"/>
      <c r="J41" s="928"/>
      <c r="K41" s="925"/>
      <c r="L41" s="922"/>
      <c r="M41" s="926"/>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row>
    <row r="42" spans="2:123" s="250" customFormat="1" ht="18" customHeight="1" thickBot="1">
      <c r="B42" s="477"/>
      <c r="C42" s="472"/>
      <c r="D42" s="475"/>
      <c r="E42" s="219"/>
      <c r="F42" s="148"/>
      <c r="G42" s="285"/>
      <c r="H42" s="1312"/>
      <c r="I42" s="927"/>
      <c r="J42" s="928"/>
      <c r="K42" s="925"/>
      <c r="L42" s="922"/>
      <c r="M42" s="926"/>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row>
    <row r="43" spans="2:123" s="15" customFormat="1">
      <c r="B43" s="765" t="s">
        <v>232</v>
      </c>
      <c r="C43" s="1368">
        <f>'[7]REV&amp;EXP'!$G$11</f>
        <v>2001.12</v>
      </c>
      <c r="D43" s="1369">
        <f>[6]Administration!$D$50</f>
        <v>269</v>
      </c>
      <c r="E43" s="1370"/>
      <c r="F43" s="1111"/>
      <c r="G43" s="1111"/>
      <c r="H43" s="1111"/>
      <c r="I43" s="927"/>
      <c r="J43" s="928"/>
      <c r="K43" s="925"/>
      <c r="L43" s="922"/>
      <c r="M43" s="926"/>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row>
    <row r="44" spans="2:123" ht="15.75" customHeight="1">
      <c r="B44" s="790" t="s">
        <v>233</v>
      </c>
      <c r="C44" s="1112">
        <f>'[7]REV&amp;EXP'!$G$16</f>
        <v>-4290.4799999999996</v>
      </c>
      <c r="D44" s="764">
        <f>[9]Administration!$D$51</f>
        <v>0</v>
      </c>
      <c r="E44" s="763"/>
      <c r="F44" s="100"/>
      <c r="I44" s="927"/>
      <c r="J44" s="928"/>
      <c r="K44" s="925"/>
      <c r="L44" s="922"/>
      <c r="M44" s="926"/>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row>
    <row r="45" spans="2:123" s="23" customFormat="1" ht="20.65">
      <c r="B45" s="790" t="s">
        <v>234</v>
      </c>
      <c r="C45" s="1112">
        <f>'[7]REV&amp;EXP'!$G$44</f>
        <v>13452.65</v>
      </c>
      <c r="D45" s="282">
        <f>[6]Administration!$D$52</f>
        <v>414</v>
      </c>
      <c r="E45" s="204"/>
      <c r="F45" s="149"/>
      <c r="G45" s="149"/>
      <c r="H45" s="150"/>
      <c r="I45" s="927"/>
      <c r="J45" s="928"/>
      <c r="K45" s="925"/>
      <c r="L45" s="922"/>
      <c r="M45" s="926"/>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row>
    <row r="46" spans="2:123" ht="14.25" customHeight="1">
      <c r="B46" s="790" t="s">
        <v>234</v>
      </c>
      <c r="C46" s="1112">
        <f>'[7]REV&amp;EXP'!$G$44</f>
        <v>13452.65</v>
      </c>
      <c r="D46" s="282">
        <f>[6]Administration!$D$52</f>
        <v>414</v>
      </c>
      <c r="E46" s="204"/>
      <c r="F46" s="149"/>
      <c r="G46" s="149"/>
      <c r="H46" s="150"/>
      <c r="I46" s="927"/>
      <c r="J46" s="928"/>
      <c r="K46" s="925"/>
      <c r="L46" s="922"/>
      <c r="M46" s="92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row>
    <row r="47" spans="2:123" ht="24.75" customHeight="1">
      <c r="C47" s="2"/>
      <c r="E47" s="2"/>
      <c r="F47" s="2"/>
      <c r="G47" s="2"/>
      <c r="H47" s="2"/>
      <c r="I47" s="927"/>
      <c r="J47" s="928"/>
      <c r="K47" s="925"/>
      <c r="L47" s="922"/>
      <c r="M47" s="926"/>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row>
    <row r="48" spans="2:123" ht="18" customHeight="1">
      <c r="C48" s="2"/>
      <c r="E48" s="2"/>
      <c r="F48" s="2"/>
      <c r="G48" s="2"/>
      <c r="H48" s="2"/>
      <c r="I48" s="15"/>
      <c r="J48" s="929"/>
      <c r="K48" s="925"/>
      <c r="L48" s="922"/>
      <c r="M48" s="925"/>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row>
    <row r="49" spans="2:55" s="26" customFormat="1">
      <c r="I49" s="927"/>
      <c r="J49" s="928"/>
      <c r="K49" s="925"/>
      <c r="L49" s="922"/>
      <c r="M49" s="926"/>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row>
    <row r="50" spans="2:55">
      <c r="B50" s="153"/>
      <c r="C50" s="154"/>
      <c r="D50" s="766"/>
      <c r="I50" s="927"/>
      <c r="J50" s="928"/>
      <c r="K50" s="925"/>
      <c r="L50" s="922"/>
      <c r="M50" s="926"/>
    </row>
    <row r="51" spans="2:55">
      <c r="B51" s="33"/>
      <c r="C51" s="34"/>
      <c r="D51" s="766"/>
      <c r="E51" s="1371"/>
      <c r="I51" s="927"/>
      <c r="J51" s="928"/>
      <c r="K51" s="925"/>
      <c r="L51" s="922"/>
      <c r="M51" s="926"/>
    </row>
    <row r="52" spans="2:55">
      <c r="B52" s="153"/>
      <c r="C52" s="154"/>
      <c r="E52" s="1371"/>
      <c r="I52" s="927"/>
      <c r="J52" s="928"/>
      <c r="K52" s="925"/>
      <c r="L52" s="922"/>
      <c r="M52" s="926"/>
    </row>
    <row r="53" spans="2:55">
      <c r="B53" s="153"/>
      <c r="C53" s="154"/>
      <c r="D53" s="766"/>
      <c r="I53" s="15"/>
      <c r="J53" s="929"/>
      <c r="K53" s="925"/>
      <c r="L53" s="922"/>
      <c r="M53" s="925"/>
    </row>
    <row r="54" spans="2:55">
      <c r="B54" s="33"/>
      <c r="C54" s="34"/>
      <c r="D54" s="766"/>
      <c r="I54" s="927"/>
      <c r="J54" s="928"/>
      <c r="K54" s="925"/>
      <c r="L54" s="922"/>
      <c r="M54" s="926"/>
    </row>
    <row r="55" spans="2:55">
      <c r="B55" s="153"/>
      <c r="C55" s="154"/>
      <c r="I55" s="927"/>
      <c r="J55" s="928"/>
      <c r="K55" s="925"/>
      <c r="L55" s="922"/>
      <c r="M55" s="926"/>
    </row>
    <row r="56" spans="2:55">
      <c r="B56" s="153"/>
      <c r="C56" s="154"/>
      <c r="I56" s="927"/>
      <c r="J56" s="928"/>
      <c r="K56" s="925"/>
      <c r="L56" s="922"/>
      <c r="M56" s="926"/>
    </row>
    <row r="57" spans="2:55">
      <c r="B57" s="153"/>
      <c r="C57" s="154"/>
      <c r="I57" s="925"/>
      <c r="J57" s="925"/>
      <c r="K57" s="925"/>
      <c r="L57" s="922"/>
      <c r="M57" s="926"/>
    </row>
    <row r="58" spans="2:55">
      <c r="B58" s="33"/>
      <c r="C58" s="34"/>
      <c r="I58" s="925"/>
      <c r="J58" s="925"/>
      <c r="K58" s="925"/>
      <c r="L58" s="922"/>
      <c r="M58" s="925"/>
    </row>
    <row r="59" spans="2:55">
      <c r="B59" s="153"/>
      <c r="C59" s="154"/>
      <c r="I59" s="925"/>
      <c r="J59" s="925"/>
      <c r="K59" s="925"/>
      <c r="L59" s="922"/>
      <c r="M59" s="926"/>
    </row>
    <row r="60" spans="2:55">
      <c r="B60" s="33"/>
      <c r="C60" s="34"/>
      <c r="I60" s="925"/>
      <c r="J60" s="925"/>
      <c r="K60" s="925"/>
      <c r="L60" s="922"/>
      <c r="M60" s="926"/>
    </row>
    <row r="61" spans="2:55">
      <c r="B61" s="153"/>
      <c r="C61" s="154"/>
      <c r="I61" s="925"/>
      <c r="J61" s="925"/>
      <c r="K61" s="925"/>
      <c r="L61" s="922"/>
      <c r="M61" s="926"/>
    </row>
    <row r="62" spans="2:55">
      <c r="B62" s="33"/>
      <c r="C62" s="34"/>
      <c r="I62" s="925"/>
      <c r="J62" s="925"/>
      <c r="K62" s="925"/>
      <c r="L62" s="922"/>
      <c r="M62" s="926"/>
    </row>
    <row r="63" spans="2:55">
      <c r="B63" s="153"/>
      <c r="C63" s="154"/>
      <c r="I63" s="925"/>
      <c r="J63" s="925"/>
      <c r="K63" s="925"/>
      <c r="L63" s="922"/>
    </row>
    <row r="64" spans="2:55">
      <c r="B64" s="33"/>
      <c r="C64" s="34"/>
      <c r="I64" s="925"/>
      <c r="J64" s="925"/>
      <c r="K64" s="925"/>
      <c r="L64" s="922"/>
    </row>
    <row r="65" spans="2:12">
      <c r="B65" s="33"/>
      <c r="C65" s="34"/>
      <c r="J65" s="18"/>
      <c r="K65" s="925"/>
      <c r="L65" s="922"/>
    </row>
    <row r="66" spans="2:12">
      <c r="J66" s="18"/>
    </row>
    <row r="67" spans="2:12">
      <c r="B67" s="33"/>
      <c r="C67" s="34"/>
      <c r="D67" s="18"/>
      <c r="G67" s="5"/>
      <c r="H67" s="158"/>
      <c r="J67" s="18"/>
    </row>
    <row r="68" spans="2:12">
      <c r="J68" s="18"/>
    </row>
    <row r="69" spans="2:12">
      <c r="B69" s="33"/>
      <c r="C69" s="34"/>
      <c r="F69" s="5"/>
      <c r="J69" s="18"/>
    </row>
    <row r="70" spans="2:12">
      <c r="D70"/>
      <c r="H70"/>
      <c r="J70" s="18"/>
    </row>
    <row r="71" spans="2:12">
      <c r="D71"/>
      <c r="H71"/>
      <c r="J71" s="18"/>
    </row>
    <row r="72" spans="2:12">
      <c r="D72"/>
      <c r="H72"/>
      <c r="J72" s="18"/>
    </row>
    <row r="73" spans="2:12">
      <c r="D73"/>
      <c r="H73"/>
      <c r="J73" s="18"/>
    </row>
    <row r="74" spans="2:12">
      <c r="D74"/>
      <c r="H74"/>
      <c r="J74" s="18"/>
    </row>
    <row r="75" spans="2:12">
      <c r="D75"/>
      <c r="H75"/>
      <c r="J75" s="18"/>
    </row>
    <row r="76" spans="2:12">
      <c r="D76"/>
      <c r="H76"/>
      <c r="J76" s="18"/>
    </row>
    <row r="77" spans="2:12">
      <c r="D77"/>
      <c r="H77"/>
      <c r="J77" s="18"/>
    </row>
    <row r="78" spans="2:12">
      <c r="C78" s="2"/>
      <c r="E78" s="2"/>
      <c r="F78" s="2"/>
      <c r="G78" s="2"/>
      <c r="H78" s="2"/>
      <c r="J78" s="18"/>
    </row>
    <row r="79" spans="2:12">
      <c r="C79" s="2"/>
      <c r="E79" s="2"/>
      <c r="F79" s="2"/>
      <c r="G79" s="2"/>
      <c r="H79" s="2"/>
      <c r="J79" s="18"/>
    </row>
    <row r="80" spans="2:12">
      <c r="C80" s="2"/>
      <c r="E80" s="2"/>
      <c r="F80" s="2"/>
      <c r="G80" s="2"/>
      <c r="H80" s="2"/>
      <c r="J80" s="18"/>
    </row>
    <row r="81" spans="3:8">
      <c r="C81" s="2"/>
      <c r="E81" s="2"/>
      <c r="F81" s="2"/>
      <c r="G81" s="2"/>
      <c r="H81" s="2"/>
    </row>
    <row r="82" spans="3:8">
      <c r="C82" s="2"/>
      <c r="E82" s="2"/>
      <c r="F82" s="2"/>
      <c r="G82" s="2"/>
      <c r="H82" s="2"/>
    </row>
    <row r="83" spans="3:8">
      <c r="C83" s="2"/>
      <c r="E83" s="2"/>
      <c r="F83" s="2"/>
      <c r="G83" s="2"/>
      <c r="H83" s="2"/>
    </row>
    <row r="84" spans="3:8">
      <c r="C84" s="2"/>
      <c r="E84" s="2"/>
      <c r="F84" s="2"/>
      <c r="G84" s="2"/>
      <c r="H84" s="2"/>
    </row>
    <row r="85" spans="3:8">
      <c r="C85" s="2"/>
      <c r="E85" s="2"/>
      <c r="F85" s="2"/>
      <c r="G85" s="2"/>
      <c r="H85" s="2"/>
    </row>
    <row r="86" spans="3:8">
      <c r="C86" s="2"/>
      <c r="E86" s="2"/>
      <c r="F86" s="2"/>
      <c r="G86" s="2"/>
      <c r="H86" s="2"/>
    </row>
    <row r="87" spans="3:8">
      <c r="C87" s="2"/>
      <c r="E87" s="2"/>
      <c r="F87" s="2"/>
      <c r="G87" s="2"/>
      <c r="H87" s="2"/>
    </row>
    <row r="88" spans="3:8">
      <c r="C88" s="2"/>
      <c r="E88" s="2"/>
      <c r="F88" s="2"/>
      <c r="G88" s="2"/>
      <c r="H88" s="2"/>
    </row>
    <row r="89" spans="3:8">
      <c r="C89" s="2"/>
      <c r="E89" s="2"/>
      <c r="F89" s="2"/>
      <c r="G89" s="2"/>
      <c r="H89" s="2"/>
    </row>
    <row r="90" spans="3:8">
      <c r="C90" s="2"/>
      <c r="E90" s="2"/>
      <c r="F90" s="2"/>
      <c r="G90" s="2"/>
      <c r="H90" s="2"/>
    </row>
    <row r="91" spans="3:8">
      <c r="C91" s="2"/>
      <c r="E91" s="2"/>
      <c r="F91" s="2"/>
      <c r="G91" s="2"/>
      <c r="H91" s="2"/>
    </row>
    <row r="92" spans="3:8">
      <c r="C92" s="2"/>
      <c r="E92" s="2"/>
      <c r="F92" s="2"/>
      <c r="G92" s="2"/>
      <c r="H92" s="2"/>
    </row>
    <row r="93" spans="3:8">
      <c r="C93" s="2"/>
      <c r="E93" s="2"/>
      <c r="F93" s="2"/>
      <c r="G93" s="2"/>
      <c r="H93" s="2"/>
    </row>
  </sheetData>
  <mergeCells count="1">
    <mergeCell ref="J2:M2"/>
  </mergeCells>
  <phoneticPr fontId="57" type="noConversion"/>
  <pageMargins left="0.75" right="0.75" top="1" bottom="1" header="0.5" footer="0.5"/>
  <pageSetup paperSize="3" scale="7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pageSetUpPr fitToPage="1"/>
  </sheetPr>
  <dimension ref="A1:AM174"/>
  <sheetViews>
    <sheetView zoomScale="120" zoomScaleNormal="120" workbookViewId="0">
      <pane xSplit="2" ySplit="3" topLeftCell="C4" activePane="bottomRight" state="frozen"/>
      <selection pane="topRight" activeCell="B36" sqref="B36:F36"/>
      <selection pane="bottomLeft" activeCell="B36" sqref="B36:F36"/>
      <selection pane="bottomRight" activeCell="B25" sqref="B25"/>
    </sheetView>
  </sheetViews>
  <sheetFormatPr defaultColWidth="10.86328125" defaultRowHeight="15"/>
  <cols>
    <col min="1" max="1" width="2.86328125" style="2" customWidth="1"/>
    <col min="2" max="2" width="49" style="2" customWidth="1"/>
    <col min="3" max="3" width="19.59765625" style="31" customWidth="1"/>
    <col min="4" max="4" width="18.3984375" style="2" hidden="1" customWidth="1"/>
    <col min="5" max="5" width="29" style="29" customWidth="1"/>
    <col min="6" max="6" width="31.265625" style="29" customWidth="1"/>
    <col min="7" max="7" width="19.265625" style="29" customWidth="1"/>
    <col min="8" max="8" width="11" style="168" customWidth="1"/>
    <col min="9" max="9" width="11.265625" style="798" hidden="1" customWidth="1"/>
    <col min="10" max="10" width="17" style="798" hidden="1" customWidth="1"/>
    <col min="11" max="11" width="14.1328125" style="798" hidden="1" customWidth="1"/>
    <col min="12" max="12" width="12.265625" style="798" hidden="1" customWidth="1"/>
    <col min="13" max="13" width="14.86328125" style="798" hidden="1" customWidth="1"/>
    <col min="14" max="14" width="10.86328125" style="152" hidden="1" customWidth="1"/>
    <col min="15" max="15" width="4" style="152" hidden="1" customWidth="1"/>
    <col min="16" max="16" width="10.86328125" style="152" hidden="1" customWidth="1"/>
    <col min="17" max="16384" width="10.86328125" style="2"/>
  </cols>
  <sheetData>
    <row r="1" spans="1:16" s="1" customFormat="1" ht="27" customHeight="1" thickBot="1">
      <c r="A1" s="1084">
        <f>'Student Government'!E6</f>
        <v>0</v>
      </c>
      <c r="B1" s="287" t="s">
        <v>235</v>
      </c>
      <c r="C1" s="310"/>
      <c r="D1" s="299"/>
      <c r="E1" s="288"/>
      <c r="F1" s="293" t="str">
        <f>Administration!F1</f>
        <v>2018-19</v>
      </c>
      <c r="G1" s="336"/>
      <c r="H1" s="292"/>
      <c r="N1" s="210"/>
      <c r="O1" s="210"/>
      <c r="P1" s="210"/>
    </row>
    <row r="2" spans="1:16" ht="16.5" customHeight="1" thickBot="1">
      <c r="B2" s="290" t="s">
        <v>10</v>
      </c>
      <c r="C2" s="311" t="str">
        <f>Administration!C2</f>
        <v>2016-17</v>
      </c>
      <c r="D2" s="304" t="str">
        <f>Administration!D2</f>
        <v>YTD 2017-18</v>
      </c>
      <c r="E2" s="293" t="str">
        <f>Administration!E2</f>
        <v>2017-18</v>
      </c>
      <c r="F2" s="443" t="str">
        <f>Administration!F2</f>
        <v>Proposed Operating Budget</v>
      </c>
      <c r="G2" s="341" t="s">
        <v>63</v>
      </c>
      <c r="H2" s="294" t="s">
        <v>64</v>
      </c>
      <c r="I2" s="2"/>
      <c r="J2" s="1452" t="s">
        <v>197</v>
      </c>
      <c r="K2" s="1453"/>
      <c r="L2" s="1453"/>
      <c r="M2" s="1454"/>
    </row>
    <row r="3" spans="1:16" ht="12.75" customHeight="1" thickBot="1">
      <c r="B3" s="290"/>
      <c r="C3" s="311" t="str">
        <f>Administration!C3</f>
        <v>Actual</v>
      </c>
      <c r="D3" s="442">
        <f>Administration!D3</f>
        <v>43008</v>
      </c>
      <c r="E3" s="443" t="str">
        <f>Administration!E3</f>
        <v>Approved Operating Budget</v>
      </c>
      <c r="F3" s="443" t="str">
        <f>Administration!F3</f>
        <v>(2% Inc. for Salary &amp; Op Exp)</v>
      </c>
      <c r="G3" s="341" t="s">
        <v>65</v>
      </c>
      <c r="H3" s="442" t="s">
        <v>66</v>
      </c>
      <c r="I3" s="29"/>
      <c r="J3" s="2"/>
      <c r="K3" s="2"/>
      <c r="L3" s="2"/>
      <c r="M3" s="2"/>
      <c r="N3" s="232"/>
    </row>
    <row r="4" spans="1:16" ht="4.5" customHeight="1" thickBot="1">
      <c r="B4" s="378"/>
      <c r="C4" s="444"/>
      <c r="D4" s="6"/>
      <c r="E4" s="6"/>
      <c r="F4" s="6"/>
      <c r="G4" s="6"/>
      <c r="H4" s="1067"/>
      <c r="I4" s="29"/>
      <c r="J4" s="2"/>
      <c r="K4" s="2"/>
      <c r="L4" s="2"/>
      <c r="M4" s="2"/>
    </row>
    <row r="5" spans="1:16" s="13" customFormat="1" ht="24.4">
      <c r="B5" s="8"/>
      <c r="C5" s="819"/>
      <c r="D5" s="820"/>
      <c r="E5" s="821"/>
      <c r="F5" s="821"/>
      <c r="G5" s="821"/>
      <c r="H5" s="1068"/>
      <c r="I5" s="1372"/>
      <c r="J5" s="139" t="s">
        <v>199</v>
      </c>
      <c r="K5" s="140"/>
      <c r="L5" s="964" t="str">
        <f>Administration!L5</f>
        <v>Operating Exp Inc by 2%</v>
      </c>
      <c r="M5" s="140"/>
      <c r="N5" s="212"/>
      <c r="O5" s="213"/>
      <c r="P5" s="20"/>
    </row>
    <row r="6" spans="1:16" s="15" customFormat="1" ht="24.4">
      <c r="B6" s="208" t="s">
        <v>236</v>
      </c>
      <c r="C6" s="338"/>
      <c r="D6" s="339"/>
      <c r="E6" s="225"/>
      <c r="F6" s="428"/>
      <c r="G6" s="225"/>
      <c r="H6" s="1069"/>
      <c r="I6" s="135"/>
      <c r="J6" s="799"/>
      <c r="K6" s="19"/>
      <c r="L6" s="135"/>
      <c r="M6" s="799"/>
      <c r="N6" s="186"/>
      <c r="O6" s="145"/>
      <c r="P6" s="186"/>
    </row>
    <row r="7" spans="1:16" ht="12.75" customHeight="1">
      <c r="B7" s="24" t="s">
        <v>203</v>
      </c>
      <c r="C7" s="308"/>
      <c r="D7" s="315"/>
      <c r="E7" s="227"/>
      <c r="F7" s="422"/>
      <c r="G7" s="227"/>
      <c r="H7" s="1070"/>
      <c r="I7" s="1333" t="s">
        <v>202</v>
      </c>
      <c r="J7" s="1326">
        <f>F8</f>
        <v>173466.07886400001</v>
      </c>
      <c r="K7" s="801"/>
      <c r="L7" s="141"/>
      <c r="M7" s="99"/>
      <c r="O7" s="142"/>
    </row>
    <row r="8" spans="1:16" s="13" customFormat="1" ht="20.25" customHeight="1" thickBot="1">
      <c r="B8" s="1327" t="s">
        <v>237</v>
      </c>
      <c r="C8" s="1328">
        <f>'[7]REV&amp;EXP'!$G$66</f>
        <v>152676.07999999999</v>
      </c>
      <c r="D8" s="1329">
        <f>'[6]Student Government'!$D$10</f>
        <v>18157</v>
      </c>
      <c r="E8" s="1031">
        <f>'[8]Student Government'!$F$10</f>
        <v>170064.78320000001</v>
      </c>
      <c r="F8" s="1330">
        <f>(E8*2%)+E8</f>
        <v>173466.07886400001</v>
      </c>
      <c r="G8" s="1031">
        <f>F8-E8</f>
        <v>3401.2956640000048</v>
      </c>
      <c r="H8" s="1331">
        <f>G8/E8</f>
        <v>2.0000000000000028E-2</v>
      </c>
      <c r="I8" s="1185" t="str">
        <f>Administration!I8</f>
        <v>2018-19</v>
      </c>
      <c r="J8" s="99">
        <f>F9</f>
        <v>35669.4</v>
      </c>
      <c r="K8" s="142"/>
      <c r="L8" s="141" t="str">
        <f>I8</f>
        <v>2018-19</v>
      </c>
      <c r="M8" s="1195">
        <f>((F18+F22+F26+F33+F39+F45+F41)*0.02)+(F18+F22+F26+F33+F39+F45+F41)</f>
        <v>251103.89761968001</v>
      </c>
      <c r="N8" s="20"/>
      <c r="O8" s="214"/>
      <c r="P8" s="20"/>
    </row>
    <row r="9" spans="1:16" ht="18.75" customHeight="1">
      <c r="B9" s="1332" t="s">
        <v>206</v>
      </c>
      <c r="C9" s="1328">
        <f>'[7]REV&amp;EXP'!$G$65</f>
        <v>28668.829999999998</v>
      </c>
      <c r="D9" s="1329">
        <f>'[6]Student Government'!$D$11</f>
        <v>8260</v>
      </c>
      <c r="E9" s="1031">
        <f>'[8]Student Government'!$F$11</f>
        <v>34970</v>
      </c>
      <c r="F9" s="1330">
        <f t="shared" ref="F9:F10" si="0">(E9*2%)+E9</f>
        <v>35669.4</v>
      </c>
      <c r="G9" s="1031">
        <f>F9-E9</f>
        <v>699.40000000000146</v>
      </c>
      <c r="H9" s="1331">
        <f>G9/E9</f>
        <v>2.0000000000000042E-2</v>
      </c>
      <c r="I9" s="1334"/>
      <c r="J9" s="99">
        <f>F10</f>
        <v>76555.030568188813</v>
      </c>
      <c r="K9" s="143"/>
      <c r="L9" s="141" t="str">
        <f>I13</f>
        <v>2019-20</v>
      </c>
      <c r="M9" s="1195">
        <f>(M8*0.02)+M8</f>
        <v>256125.9755720736</v>
      </c>
      <c r="O9" s="142"/>
    </row>
    <row r="10" spans="1:16" s="26" customFormat="1" ht="30.75" customHeight="1">
      <c r="B10" s="1327" t="s">
        <v>238</v>
      </c>
      <c r="C10" s="1328">
        <f>'[7]REV&amp;EXP'!$G$69+'[7]REV&amp;EXP'!$G$70+'[7]REV&amp;EXP'!$G$71+'[7]REV&amp;EXP'!$G$72+'[7]REV&amp;EXP'!$G$73+'[7]REV&amp;EXP'!$G$74+'[7]REV&amp;EXP'!$G$75+'[7]REV&amp;EXP'!$G$76</f>
        <v>69904.219999999987</v>
      </c>
      <c r="D10" s="1329">
        <f>'[6]Student Government'!$D$12</f>
        <v>5727</v>
      </c>
      <c r="E10" s="1031">
        <f>'[8]Student Government'!$F$12</f>
        <v>75053.951537440007</v>
      </c>
      <c r="F10" s="1330">
        <f t="shared" si="0"/>
        <v>76555.030568188813</v>
      </c>
      <c r="G10" s="1031">
        <f>F10-E10</f>
        <v>1501.079030748806</v>
      </c>
      <c r="H10" s="1331">
        <f>G10/E10</f>
        <v>2.0000000000000077E-2</v>
      </c>
      <c r="I10" s="1334"/>
      <c r="J10" s="1196">
        <f>SUM(J7:J9)</f>
        <v>285690.50943218882</v>
      </c>
      <c r="K10" s="142"/>
      <c r="L10" s="141" t="str">
        <f>I19</f>
        <v>2020-21</v>
      </c>
      <c r="M10" s="1195">
        <f>(M9*0.02)+M9</f>
        <v>261248.49508351507</v>
      </c>
      <c r="N10" s="1373"/>
      <c r="O10" s="1374"/>
      <c r="P10" s="152"/>
    </row>
    <row r="11" spans="1:16" s="26" customFormat="1" ht="27" customHeight="1">
      <c r="B11" s="1319" t="s">
        <v>208</v>
      </c>
      <c r="C11" s="1320">
        <f>SUM(C8:C10)</f>
        <v>251249.12999999995</v>
      </c>
      <c r="D11" s="1321">
        <f>SUM(D8:D10)</f>
        <v>32144</v>
      </c>
      <c r="E11" s="1322">
        <f>SUM(E8:E10)</f>
        <v>280088.73473744001</v>
      </c>
      <c r="F11" s="1323">
        <f>SUM(F8:F10)</f>
        <v>285690.50943218882</v>
      </c>
      <c r="G11" s="1322">
        <f>F11-E11</f>
        <v>5601.7746947488049</v>
      </c>
      <c r="H11" s="1324">
        <f>G11/E11</f>
        <v>2.0000000000000018E-2</v>
      </c>
      <c r="I11" s="1335" t="s">
        <v>239</v>
      </c>
      <c r="J11" s="804"/>
      <c r="K11" s="1289">
        <f>+M8+J10</f>
        <v>536794.40705186885</v>
      </c>
      <c r="L11" s="805" t="str">
        <f>I24</f>
        <v>2021-22</v>
      </c>
      <c r="M11" s="1195">
        <f>(M10*0.02)+M10</f>
        <v>266473.46498518536</v>
      </c>
      <c r="N11" s="181"/>
      <c r="O11" s="205"/>
      <c r="P11" s="152"/>
    </row>
    <row r="12" spans="1:16" s="26" customFormat="1" ht="30.75" customHeight="1">
      <c r="B12" s="284"/>
      <c r="C12" s="229"/>
      <c r="D12" s="340"/>
      <c r="E12" s="229"/>
      <c r="F12" s="429"/>
      <c r="G12" s="229"/>
      <c r="H12" s="1071"/>
      <c r="I12" s="720" t="s">
        <v>202</v>
      </c>
      <c r="J12" s="1195">
        <f>(J7*2%)+J7</f>
        <v>176935.40044128001</v>
      </c>
      <c r="K12" s="142"/>
      <c r="L12" s="135"/>
      <c r="M12" s="88"/>
      <c r="N12" s="181"/>
      <c r="O12" s="205"/>
      <c r="P12" s="152"/>
    </row>
    <row r="13" spans="1:16" s="15" customFormat="1" ht="15.4" thickBot="1">
      <c r="B13" s="24" t="s">
        <v>209</v>
      </c>
      <c r="C13" s="415"/>
      <c r="D13" s="315"/>
      <c r="E13" s="227"/>
      <c r="F13" s="422"/>
      <c r="G13" s="227"/>
      <c r="H13" s="1072"/>
      <c r="I13" s="1185" t="str">
        <f>Administration!I13</f>
        <v>2019-20</v>
      </c>
      <c r="J13" s="1195">
        <f>(J8*2%)+J8</f>
        <v>36382.788</v>
      </c>
      <c r="K13" s="142"/>
      <c r="L13" s="805"/>
      <c r="M13" s="87"/>
      <c r="N13" s="182"/>
      <c r="O13" s="206"/>
      <c r="P13" s="186"/>
    </row>
    <row r="14" spans="1:16" s="201" customFormat="1" ht="15.75" customHeight="1">
      <c r="B14" s="491" t="s">
        <v>214</v>
      </c>
      <c r="C14" s="496">
        <f>'[7]REV&amp;EXP'!$G$80</f>
        <v>4621.33</v>
      </c>
      <c r="D14" s="492">
        <f>'[6]Student Government'!$D$16</f>
        <v>5141</v>
      </c>
      <c r="E14" s="493">
        <f>'[8]Student Government'!$F$16</f>
        <v>14281.4</v>
      </c>
      <c r="F14" s="1325">
        <f>(E14*2%)+E14</f>
        <v>14567.028</v>
      </c>
      <c r="G14" s="493">
        <f>F14-E14</f>
        <v>285.62800000000061</v>
      </c>
      <c r="H14" s="1073">
        <f>G14/E14</f>
        <v>2.0000000000000042E-2</v>
      </c>
      <c r="I14" s="1334"/>
      <c r="J14" s="1195">
        <f>(J9*2%)+J9</f>
        <v>78086.131179552583</v>
      </c>
      <c r="K14" s="145"/>
      <c r="L14" s="805"/>
      <c r="M14" s="87"/>
      <c r="N14" s="211"/>
      <c r="O14" s="215"/>
      <c r="P14" s="198"/>
    </row>
    <row r="15" spans="1:16">
      <c r="B15" s="491" t="s">
        <v>240</v>
      </c>
      <c r="C15" s="496">
        <f>'[7]REV&amp;EXP'!$G$84</f>
        <v>4688.2299999999996</v>
      </c>
      <c r="D15" s="492">
        <f>'[6]Student Government'!$D$17</f>
        <v>256</v>
      </c>
      <c r="E15" s="493">
        <f>'[8]Student Government'!$F$17</f>
        <v>5618</v>
      </c>
      <c r="F15" s="1325">
        <f t="shared" ref="F15:F17" si="1">(E15*2%)+E15</f>
        <v>5730.36</v>
      </c>
      <c r="G15" s="493">
        <f>F15-E15</f>
        <v>112.35999999999967</v>
      </c>
      <c r="H15" s="1073">
        <f>G15/E15</f>
        <v>1.9999999999999941E-2</v>
      </c>
      <c r="I15" s="1334"/>
      <c r="J15" s="1196">
        <f>SUM(J12:J14)</f>
        <v>291404.31962083257</v>
      </c>
      <c r="K15" s="142"/>
      <c r="L15" s="805"/>
      <c r="M15" s="87"/>
      <c r="N15" s="181"/>
      <c r="O15" s="205"/>
    </row>
    <row r="16" spans="1:16" s="250" customFormat="1" ht="17.25" customHeight="1" thickBot="1">
      <c r="B16" s="491" t="s">
        <v>241</v>
      </c>
      <c r="C16" s="496">
        <f>'[7]REV&amp;EXP'!$G$85</f>
        <v>27003.9</v>
      </c>
      <c r="D16" s="492">
        <f>'[6]Student Government'!$D$18</f>
        <v>1758</v>
      </c>
      <c r="E16" s="493">
        <f>'[8]Student Government'!$F$18</f>
        <v>8780</v>
      </c>
      <c r="F16" s="1325">
        <f t="shared" si="1"/>
        <v>8955.6</v>
      </c>
      <c r="G16" s="493">
        <f>F16-E16</f>
        <v>175.60000000000036</v>
      </c>
      <c r="H16" s="1073">
        <f>G16/E16</f>
        <v>2.0000000000000042E-2</v>
      </c>
      <c r="I16" s="144" t="str">
        <f>I11</f>
        <v>Total Student Gov Expenses</v>
      </c>
      <c r="J16" s="99"/>
      <c r="K16" s="1290">
        <f>+M9+J15</f>
        <v>547530.29519290617</v>
      </c>
      <c r="L16" s="805"/>
      <c r="M16" s="87"/>
      <c r="N16" s="270"/>
      <c r="O16" s="271"/>
    </row>
    <row r="17" spans="1:16" s="250" customFormat="1" ht="18.75" customHeight="1">
      <c r="B17" s="491" t="s">
        <v>242</v>
      </c>
      <c r="C17" s="496">
        <v>0</v>
      </c>
      <c r="D17" s="492">
        <f>'[6]Student Government'!$D$18</f>
        <v>1758</v>
      </c>
      <c r="E17" s="493">
        <f>'[8]Student Government'!$F$19</f>
        <v>4579.9591999999993</v>
      </c>
      <c r="F17" s="1325">
        <f t="shared" si="1"/>
        <v>4671.558383999999</v>
      </c>
      <c r="G17" s="493">
        <f>F17-E17</f>
        <v>91.599183999999696</v>
      </c>
      <c r="H17" s="1073">
        <f>G17/E17</f>
        <v>1.9999999999999938E-2</v>
      </c>
      <c r="I17" s="1184" t="s">
        <v>202</v>
      </c>
      <c r="J17" s="99">
        <f>(J12*2%)+J12</f>
        <v>180474.10845010562</v>
      </c>
      <c r="K17" s="142"/>
      <c r="L17" s="805"/>
      <c r="M17" s="87"/>
      <c r="N17" s="270"/>
      <c r="O17" s="271"/>
    </row>
    <row r="18" spans="1:16" s="250" customFormat="1" ht="24" customHeight="1">
      <c r="B18" s="1319" t="s">
        <v>217</v>
      </c>
      <c r="C18" s="1320">
        <f>SUM(C14:C17)</f>
        <v>36313.46</v>
      </c>
      <c r="D18" s="1321">
        <f>SUM(D14:D17)</f>
        <v>8913</v>
      </c>
      <c r="E18" s="1322">
        <f>SUM(E14:E17)</f>
        <v>33259.359199999999</v>
      </c>
      <c r="F18" s="1323">
        <f>SUM(F14:F17)</f>
        <v>33924.546383999994</v>
      </c>
      <c r="G18" s="1322">
        <f>F18-E18</f>
        <v>665.18718399999489</v>
      </c>
      <c r="H18" s="1324">
        <f>G18/E18</f>
        <v>1.9999999999999848E-2</v>
      </c>
      <c r="I18" s="720"/>
      <c r="J18" s="99">
        <f>(J13*2%)+J13</f>
        <v>37110.443760000002</v>
      </c>
      <c r="K18" s="142"/>
      <c r="L18" s="805"/>
      <c r="M18" s="87"/>
      <c r="N18" s="270"/>
      <c r="O18" s="271"/>
    </row>
    <row r="19" spans="1:16" s="250" customFormat="1" ht="27" customHeight="1" thickBot="1">
      <c r="B19" s="178"/>
      <c r="C19" s="372"/>
      <c r="D19" s="315"/>
      <c r="E19" s="226"/>
      <c r="F19" s="421"/>
      <c r="G19" s="226"/>
      <c r="H19" s="1075"/>
      <c r="I19" s="1185" t="str">
        <f>Administration!I18</f>
        <v>2020-21</v>
      </c>
      <c r="J19" s="99">
        <f>(J14*2%)+J14</f>
        <v>79647.853803143633</v>
      </c>
      <c r="K19" s="142"/>
      <c r="L19" s="807"/>
      <c r="M19" s="1343"/>
      <c r="N19" s="1344"/>
      <c r="O19" s="1345"/>
    </row>
    <row r="20" spans="1:16" s="254" customFormat="1">
      <c r="B20" s="510" t="s">
        <v>243</v>
      </c>
      <c r="C20" s="372"/>
      <c r="D20" s="315"/>
      <c r="E20" s="226"/>
      <c r="F20" s="421"/>
      <c r="G20" s="226"/>
      <c r="H20" s="1075"/>
      <c r="I20" s="1334"/>
      <c r="J20" s="1196">
        <f>SUM(J17:J19)</f>
        <v>297232.40601324925</v>
      </c>
      <c r="K20" s="142"/>
      <c r="L20" s="160"/>
      <c r="M20" s="1336"/>
      <c r="N20" s="273"/>
      <c r="O20" s="274"/>
    </row>
    <row r="21" spans="1:16" s="250" customFormat="1" ht="12.75" customHeight="1">
      <c r="B21" s="491" t="s">
        <v>244</v>
      </c>
      <c r="C21" s="496">
        <f>'[7]REV&amp;EXP'!$G$79</f>
        <v>24734.73</v>
      </c>
      <c r="D21" s="492">
        <f>'[6]Student Government'!$D$23</f>
        <v>30</v>
      </c>
      <c r="E21" s="493">
        <f>'[8]Student Government'!$F$24</f>
        <v>37825</v>
      </c>
      <c r="F21" s="1325">
        <f t="shared" ref="F21" si="2">(E21*2%)+E21</f>
        <v>38581.5</v>
      </c>
      <c r="G21" s="493">
        <f>F21-E21</f>
        <v>756.5</v>
      </c>
      <c r="H21" s="1073">
        <f>G21/E21</f>
        <v>0.02</v>
      </c>
      <c r="I21" s="1334"/>
      <c r="K21" s="142"/>
      <c r="L21" s="160"/>
      <c r="M21" s="1336"/>
      <c r="N21" s="270"/>
      <c r="O21" s="271"/>
    </row>
    <row r="22" spans="1:16" s="250" customFormat="1" ht="15.4" thickBot="1">
      <c r="B22" s="536" t="s">
        <v>245</v>
      </c>
      <c r="C22" s="537">
        <f>SUM(C21:C21)</f>
        <v>24734.73</v>
      </c>
      <c r="D22" s="533">
        <f>SUM(D21:D21)</f>
        <v>30</v>
      </c>
      <c r="E22" s="539">
        <f>SUM(E21:E21)</f>
        <v>37825</v>
      </c>
      <c r="F22" s="540">
        <f>SUM(F21:F21)</f>
        <v>38581.5</v>
      </c>
      <c r="G22" s="539">
        <f>F22-E22</f>
        <v>756.5</v>
      </c>
      <c r="H22" s="1074">
        <f>G22/E22</f>
        <v>0.02</v>
      </c>
      <c r="I22" s="1337" t="str">
        <f>I16</f>
        <v>Total Student Gov Expenses</v>
      </c>
      <c r="J22" s="209"/>
      <c r="K22" s="1197">
        <f>+M10+J20</f>
        <v>558480.90109676425</v>
      </c>
      <c r="L22" s="160"/>
      <c r="M22" s="88"/>
      <c r="N22" s="270"/>
      <c r="O22" s="271"/>
    </row>
    <row r="23" spans="1:16" s="272" customFormat="1" ht="32.25" customHeight="1">
      <c r="A23" s="184"/>
      <c r="B23" s="178"/>
      <c r="C23" s="372"/>
      <c r="D23" s="315"/>
      <c r="E23" s="230"/>
      <c r="F23" s="426"/>
      <c r="G23" s="226"/>
      <c r="H23" s="1075"/>
      <c r="I23" s="1184" t="s">
        <v>202</v>
      </c>
      <c r="J23" s="99">
        <f>(J17*2%)+J17</f>
        <v>184083.59061910774</v>
      </c>
      <c r="K23" s="142"/>
      <c r="L23" s="160"/>
      <c r="M23" s="157"/>
      <c r="N23" s="270"/>
      <c r="O23" s="271"/>
      <c r="P23" s="250"/>
    </row>
    <row r="24" spans="1:16" s="275" customFormat="1" ht="15.4" thickBot="1">
      <c r="B24" s="511" t="s">
        <v>246</v>
      </c>
      <c r="C24" s="372"/>
      <c r="D24" s="315"/>
      <c r="E24" s="230"/>
      <c r="F24" s="421"/>
      <c r="G24" s="226"/>
      <c r="H24" s="1075"/>
      <c r="I24" s="1185" t="str">
        <f>Administration!I23</f>
        <v>2021-22</v>
      </c>
      <c r="J24" s="99">
        <f>(J18*2%)+J18</f>
        <v>37852.6526352</v>
      </c>
      <c r="K24" s="142"/>
      <c r="L24" s="160"/>
      <c r="M24" s="157"/>
      <c r="N24" s="273"/>
      <c r="O24" s="274"/>
      <c r="P24" s="254"/>
    </row>
    <row r="25" spans="1:16" s="275" customFormat="1" ht="15.75" customHeight="1">
      <c r="B25" s="1096" t="s">
        <v>247</v>
      </c>
      <c r="C25" s="1375">
        <f>'[7]REV&amp;EXP'!$G$77+'[7]REV&amp;EXP'!$G$78</f>
        <v>16009.51</v>
      </c>
      <c r="D25" s="1376">
        <f>'[6]Student Government'!$D$27</f>
        <v>103</v>
      </c>
      <c r="E25" s="1377">
        <f>'[8]Student Government'!$F$28</f>
        <v>10365</v>
      </c>
      <c r="F25" s="1325">
        <f t="shared" ref="F25" si="3">(E25*2%)+E25</f>
        <v>10572.3</v>
      </c>
      <c r="G25" s="1377">
        <f>F25-E25</f>
        <v>207.29999999999927</v>
      </c>
      <c r="H25" s="1378">
        <f>G25/E25</f>
        <v>1.9999999999999931E-2</v>
      </c>
      <c r="I25" s="1334"/>
      <c r="J25" s="99">
        <f>(J19*2%)+J19</f>
        <v>81240.810879206503</v>
      </c>
      <c r="K25" s="142"/>
      <c r="L25" s="160"/>
      <c r="M25" s="157"/>
      <c r="N25" s="273"/>
      <c r="O25" s="274"/>
      <c r="P25" s="254"/>
    </row>
    <row r="26" spans="1:16" s="275" customFormat="1">
      <c r="B26" s="536" t="s">
        <v>248</v>
      </c>
      <c r="C26" s="537">
        <f>SUM(C25)</f>
        <v>16009.51</v>
      </c>
      <c r="D26" s="533">
        <f>SUM(D25)</f>
        <v>103</v>
      </c>
      <c r="E26" s="539">
        <f>SUM(E25)</f>
        <v>10365</v>
      </c>
      <c r="F26" s="540">
        <f>SUM(F25)</f>
        <v>10572.3</v>
      </c>
      <c r="G26" s="539">
        <f>F26-E26</f>
        <v>207.29999999999927</v>
      </c>
      <c r="H26" s="1074">
        <f>G26/E26</f>
        <v>1.9999999999999931E-2</v>
      </c>
      <c r="I26" s="1334"/>
      <c r="J26" s="803">
        <f>SUM(J23:J25)</f>
        <v>303177.05413351423</v>
      </c>
      <c r="K26" s="142"/>
      <c r="L26" s="160"/>
      <c r="M26" s="88"/>
      <c r="N26" s="273"/>
      <c r="O26" s="274"/>
      <c r="P26" s="254"/>
    </row>
    <row r="27" spans="1:16" s="184" customFormat="1" ht="15.75" customHeight="1" thickBot="1">
      <c r="B27" s="21"/>
      <c r="C27" s="414"/>
      <c r="D27" s="315"/>
      <c r="E27" s="227"/>
      <c r="F27" s="422"/>
      <c r="G27" s="227"/>
      <c r="H27" s="1072"/>
      <c r="I27" s="1337" t="str">
        <f>I22</f>
        <v>Total Student Gov Expenses</v>
      </c>
      <c r="J27" s="209"/>
      <c r="K27" s="1197">
        <f>+M11+J26</f>
        <v>569650.51911869959</v>
      </c>
      <c r="L27" s="160"/>
      <c r="M27" s="157"/>
      <c r="N27" s="270"/>
      <c r="O27" s="271"/>
      <c r="P27" s="250"/>
    </row>
    <row r="28" spans="1:16" s="275" customFormat="1">
      <c r="B28" s="24" t="s">
        <v>249</v>
      </c>
      <c r="C28" s="415"/>
      <c r="D28" s="315"/>
      <c r="E28" s="227"/>
      <c r="F28" s="422"/>
      <c r="G28" s="227"/>
      <c r="H28" s="1072"/>
      <c r="I28" s="135"/>
      <c r="J28" s="88"/>
      <c r="K28" s="88"/>
      <c r="L28" s="160"/>
      <c r="M28" s="157"/>
      <c r="N28" s="273"/>
      <c r="O28" s="274"/>
      <c r="P28" s="254"/>
    </row>
    <row r="29" spans="1:16" ht="15.75" customHeight="1">
      <c r="B29" s="491" t="s">
        <v>250</v>
      </c>
      <c r="C29" s="496">
        <f>'[7]REV&amp;EXP'!$G$89</f>
        <v>97.88</v>
      </c>
      <c r="D29" s="492">
        <f>'[6]Student Government'!$D$31</f>
        <v>0</v>
      </c>
      <c r="E29" s="493">
        <f>'[8]Student Government'!$F$32</f>
        <v>100</v>
      </c>
      <c r="F29" s="1325">
        <f t="shared" ref="F29:F32" si="4">(E29*2%)+E29</f>
        <v>102</v>
      </c>
      <c r="G29" s="493">
        <f>F29-E29</f>
        <v>2</v>
      </c>
      <c r="H29" s="1073">
        <f>G29/E29</f>
        <v>0.02</v>
      </c>
      <c r="I29" s="135"/>
      <c r="J29" s="88"/>
      <c r="K29" s="88"/>
      <c r="L29" s="160"/>
      <c r="M29" s="157"/>
      <c r="N29" s="181"/>
      <c r="O29" s="205"/>
    </row>
    <row r="30" spans="1:16">
      <c r="B30" s="491" t="s">
        <v>251</v>
      </c>
      <c r="C30" s="496">
        <f>'[6]Student Government'!$C$32</f>
        <v>0</v>
      </c>
      <c r="D30" s="492">
        <f>'[6]Student Government'!$D$32</f>
        <v>0</v>
      </c>
      <c r="E30" s="493">
        <f>'[8]Student Government'!$F$33</f>
        <v>0</v>
      </c>
      <c r="F30" s="1325">
        <f t="shared" si="4"/>
        <v>0</v>
      </c>
      <c r="G30" s="493">
        <f>F30-E30</f>
        <v>0</v>
      </c>
      <c r="H30" s="1073" t="e">
        <f>G30/E30</f>
        <v>#DIV/0!</v>
      </c>
      <c r="I30" s="135"/>
      <c r="J30" s="88"/>
      <c r="K30" s="88"/>
      <c r="L30" s="160"/>
      <c r="M30" s="157"/>
      <c r="N30" s="181"/>
      <c r="O30" s="205"/>
    </row>
    <row r="31" spans="1:16" ht="19.5" customHeight="1">
      <c r="B31" s="21" t="s">
        <v>252</v>
      </c>
      <c r="C31" s="414">
        <f>'[6]Student Government'!$C$33</f>
        <v>0</v>
      </c>
      <c r="D31" s="315">
        <f>'[6]Student Government'!$D$33</f>
        <v>0</v>
      </c>
      <c r="E31" s="227">
        <f>'[8]Student Government'!$F$34</f>
        <v>0</v>
      </c>
      <c r="F31" s="1325">
        <f t="shared" si="4"/>
        <v>0</v>
      </c>
      <c r="G31" s="227">
        <f>F31-E31</f>
        <v>0</v>
      </c>
      <c r="H31" s="1072" t="e">
        <f>G31/E31</f>
        <v>#DIV/0!</v>
      </c>
      <c r="I31" s="135"/>
      <c r="J31" s="88"/>
      <c r="K31" s="88"/>
      <c r="L31" s="160"/>
      <c r="M31" s="88"/>
      <c r="N31" s="181"/>
      <c r="O31" s="205"/>
    </row>
    <row r="32" spans="1:16" ht="18.75" customHeight="1">
      <c r="B32" s="491" t="s">
        <v>253</v>
      </c>
      <c r="C32" s="496">
        <f>'[7]REV&amp;EXP'!$G$90</f>
        <v>46.61</v>
      </c>
      <c r="D32" s="492">
        <f>'[6]Student Government'!$D$34</f>
        <v>0</v>
      </c>
      <c r="E32" s="493">
        <f>'[8]Student Government'!$F$35</f>
        <v>750</v>
      </c>
      <c r="F32" s="1325">
        <f t="shared" si="4"/>
        <v>765</v>
      </c>
      <c r="G32" s="493">
        <f>F32-E32</f>
        <v>15</v>
      </c>
      <c r="H32" s="1073">
        <f>G32/E32</f>
        <v>0.02</v>
      </c>
      <c r="I32" s="805"/>
      <c r="J32" s="157"/>
      <c r="K32" s="88"/>
      <c r="L32" s="88"/>
      <c r="M32" s="157"/>
      <c r="N32" s="181"/>
      <c r="O32" s="205"/>
    </row>
    <row r="33" spans="2:39">
      <c r="B33" s="531" t="s">
        <v>254</v>
      </c>
      <c r="C33" s="532">
        <f>SUM(C29:C32)</f>
        <v>144.49</v>
      </c>
      <c r="D33" s="533">
        <f>SUM(D29:D32)</f>
        <v>0</v>
      </c>
      <c r="E33" s="534">
        <f>SUM(E29:E32)</f>
        <v>850</v>
      </c>
      <c r="F33" s="535">
        <f>SUM(F29:F32)</f>
        <v>867</v>
      </c>
      <c r="G33" s="534">
        <f>F33-E33</f>
        <v>17</v>
      </c>
      <c r="H33" s="713">
        <f>G33/E33</f>
        <v>0.02</v>
      </c>
      <c r="I33" s="805"/>
      <c r="J33" s="157"/>
      <c r="K33" s="88"/>
      <c r="L33" s="88"/>
      <c r="M33" s="157"/>
      <c r="N33" s="181"/>
      <c r="O33" s="205"/>
    </row>
    <row r="34" spans="2:39" ht="19.5" customHeight="1">
      <c r="B34" s="24" t="s">
        <v>255</v>
      </c>
      <c r="C34" s="415"/>
      <c r="D34" s="314"/>
      <c r="E34" s="228"/>
      <c r="F34" s="423"/>
      <c r="G34" s="228"/>
      <c r="H34" s="1076"/>
      <c r="I34" s="805"/>
      <c r="J34" s="157"/>
      <c r="K34" s="88"/>
      <c r="L34" s="88"/>
      <c r="M34" s="157"/>
      <c r="N34" s="181"/>
      <c r="O34" s="205"/>
    </row>
    <row r="35" spans="2:39" s="15" customFormat="1">
      <c r="B35" s="24" t="s">
        <v>253</v>
      </c>
      <c r="C35" s="415"/>
      <c r="D35" s="315"/>
      <c r="E35" s="227"/>
      <c r="F35" s="422"/>
      <c r="G35" s="227"/>
      <c r="H35" s="1072"/>
      <c r="I35" s="805"/>
      <c r="J35" s="157"/>
      <c r="K35" s="88"/>
      <c r="L35" s="88"/>
      <c r="M35" s="157"/>
      <c r="N35" s="182"/>
      <c r="O35" s="206"/>
      <c r="P35" s="186"/>
    </row>
    <row r="36" spans="2:39" s="15" customFormat="1" ht="22.9" customHeight="1">
      <c r="B36" s="491" t="s">
        <v>256</v>
      </c>
      <c r="C36" s="496">
        <v>0</v>
      </c>
      <c r="D36" s="492">
        <v>0</v>
      </c>
      <c r="E36" s="493">
        <v>0</v>
      </c>
      <c r="F36" s="1325">
        <f t="shared" ref="F36" si="5">(E36*2%)+E36</f>
        <v>0</v>
      </c>
      <c r="G36" s="493">
        <f t="shared" ref="G36:G41" si="6">F36-E36</f>
        <v>0</v>
      </c>
      <c r="H36" s="1073" t="e">
        <f t="shared" ref="H36:H41" si="7">G36/E36</f>
        <v>#DIV/0!</v>
      </c>
      <c r="I36" s="144"/>
      <c r="J36" s="91"/>
      <c r="K36" s="91"/>
      <c r="L36" s="91"/>
      <c r="M36" s="91"/>
      <c r="N36" s="182"/>
      <c r="O36" s="206"/>
      <c r="P36" s="186"/>
      <c r="Q36" s="1097"/>
      <c r="R36" s="1097"/>
      <c r="S36" s="1097"/>
      <c r="T36" s="1097"/>
      <c r="U36" s="1097"/>
      <c r="V36" s="1097"/>
      <c r="W36" s="1097"/>
      <c r="X36" s="1097"/>
      <c r="Y36" s="1097"/>
      <c r="Z36" s="1097"/>
      <c r="AA36" s="1097"/>
      <c r="AB36" s="1097"/>
      <c r="AC36" s="1097"/>
      <c r="AD36" s="1097"/>
      <c r="AE36" s="1097"/>
      <c r="AF36" s="1097"/>
      <c r="AG36" s="1097"/>
      <c r="AH36" s="1097"/>
      <c r="AI36" s="1097"/>
      <c r="AJ36" s="1097"/>
      <c r="AK36" s="1097"/>
      <c r="AL36" s="1097"/>
      <c r="AM36" s="1097"/>
    </row>
    <row r="37" spans="2:39" hidden="1">
      <c r="B37" s="491" t="s">
        <v>257</v>
      </c>
      <c r="C37" s="496">
        <v>0</v>
      </c>
      <c r="D37" s="492">
        <v>0</v>
      </c>
      <c r="E37" s="493">
        <v>0</v>
      </c>
      <c r="F37" s="494">
        <v>0</v>
      </c>
      <c r="G37" s="493">
        <f t="shared" si="6"/>
        <v>0</v>
      </c>
      <c r="H37" s="1073" t="e">
        <f t="shared" si="7"/>
        <v>#DIV/0!</v>
      </c>
      <c r="I37" s="141"/>
      <c r="J37" s="1098"/>
      <c r="K37" s="91"/>
      <c r="L37" s="91"/>
      <c r="M37" s="1098"/>
      <c r="N37" s="181"/>
      <c r="O37" s="205"/>
      <c r="Q37" s="26"/>
      <c r="R37" s="26"/>
      <c r="S37" s="26"/>
      <c r="T37" s="26"/>
      <c r="U37" s="26"/>
      <c r="V37" s="26"/>
      <c r="W37" s="26"/>
      <c r="X37" s="26"/>
      <c r="Y37" s="26"/>
      <c r="Z37" s="26"/>
      <c r="AA37" s="26"/>
      <c r="AB37" s="26"/>
      <c r="AC37" s="26"/>
      <c r="AD37" s="26"/>
      <c r="AE37" s="26"/>
      <c r="AF37" s="26"/>
      <c r="AG37" s="26"/>
      <c r="AH37" s="26"/>
      <c r="AI37" s="26"/>
      <c r="AJ37" s="26"/>
      <c r="AK37" s="26"/>
      <c r="AL37" s="26"/>
      <c r="AM37" s="26"/>
    </row>
    <row r="38" spans="2:39" ht="18" hidden="1" customHeight="1">
      <c r="B38" s="491" t="s">
        <v>258</v>
      </c>
      <c r="C38" s="496">
        <v>0</v>
      </c>
      <c r="D38" s="492">
        <v>0</v>
      </c>
      <c r="E38" s="493">
        <v>0</v>
      </c>
      <c r="F38" s="494">
        <f>'[10]SLA Dinner Inauguration'!$I$28</f>
        <v>0</v>
      </c>
      <c r="G38" s="493">
        <f t="shared" si="6"/>
        <v>0</v>
      </c>
      <c r="H38" s="1073" t="e">
        <f t="shared" si="7"/>
        <v>#DIV/0!</v>
      </c>
      <c r="I38" s="141"/>
      <c r="J38" s="1098"/>
      <c r="K38" s="91"/>
      <c r="L38" s="91"/>
      <c r="M38" s="1098"/>
      <c r="N38" s="181"/>
      <c r="O38" s="205"/>
      <c r="Q38" s="26"/>
      <c r="R38" s="26"/>
      <c r="S38" s="26"/>
      <c r="T38" s="26"/>
      <c r="U38" s="26"/>
      <c r="V38" s="26"/>
      <c r="W38" s="26"/>
      <c r="X38" s="26"/>
      <c r="Y38" s="26"/>
      <c r="Z38" s="26"/>
      <c r="AA38" s="26"/>
      <c r="AB38" s="26"/>
      <c r="AC38" s="26"/>
      <c r="AD38" s="26"/>
      <c r="AE38" s="26"/>
      <c r="AF38" s="26"/>
      <c r="AG38" s="26"/>
      <c r="AH38" s="26"/>
      <c r="AI38" s="26"/>
      <c r="AJ38" s="26"/>
      <c r="AK38" s="26"/>
      <c r="AL38" s="26"/>
      <c r="AM38" s="26"/>
    </row>
    <row r="39" spans="2:39" s="184" customFormat="1" ht="20.25" hidden="1" customHeight="1">
      <c r="B39" s="1100" t="s">
        <v>259</v>
      </c>
      <c r="C39" s="1101">
        <f>SUM(C36:C38)</f>
        <v>0</v>
      </c>
      <c r="D39" s="1102">
        <f>SUM(D36:D38)</f>
        <v>0</v>
      </c>
      <c r="E39" s="1103">
        <f>SUM(E36:E38)</f>
        <v>0</v>
      </c>
      <c r="F39" s="1104">
        <f>SUM(F36:F38)</f>
        <v>0</v>
      </c>
      <c r="G39" s="1103">
        <f t="shared" si="6"/>
        <v>0</v>
      </c>
      <c r="H39" s="1105" t="e">
        <f t="shared" si="7"/>
        <v>#DIV/0!</v>
      </c>
      <c r="I39" s="141"/>
      <c r="J39" s="1098"/>
      <c r="K39" s="91"/>
      <c r="L39" s="91"/>
      <c r="M39" s="1098"/>
      <c r="N39" s="270"/>
      <c r="O39" s="271"/>
      <c r="P39" s="250"/>
    </row>
    <row r="40" spans="2:39" ht="17.25" hidden="1" customHeight="1">
      <c r="B40" s="1116" t="s">
        <v>251</v>
      </c>
      <c r="C40" s="1114">
        <f>'[7]REV&amp;EXP'!$G$83</f>
        <v>53599.759999999995</v>
      </c>
      <c r="D40" s="1114">
        <f>'[11]REV&amp;EXP'!$G$83</f>
        <v>39282.49</v>
      </c>
      <c r="E40" s="1115">
        <f>'[8]Student Government'!$F$45</f>
        <v>40872.01</v>
      </c>
      <c r="F40" s="1115">
        <f>[12]LeadershipDevelopment!$I$91</f>
        <v>40872.01</v>
      </c>
      <c r="G40" s="1037">
        <f t="shared" si="6"/>
        <v>0</v>
      </c>
      <c r="H40" s="1117">
        <f t="shared" si="7"/>
        <v>0</v>
      </c>
      <c r="I40" s="141"/>
      <c r="J40" s="1098"/>
      <c r="K40" s="91"/>
      <c r="L40" s="91"/>
      <c r="M40" s="1098"/>
      <c r="N40" s="181"/>
      <c r="O40" s="205"/>
      <c r="Q40" s="26"/>
      <c r="R40" s="26"/>
      <c r="S40" s="26"/>
      <c r="T40" s="26"/>
      <c r="U40" s="26"/>
      <c r="V40" s="26"/>
      <c r="W40" s="26"/>
      <c r="X40" s="26"/>
      <c r="Y40" s="26"/>
      <c r="Z40" s="26"/>
      <c r="AA40" s="26"/>
      <c r="AB40" s="26"/>
      <c r="AC40" s="26"/>
      <c r="AD40" s="26"/>
      <c r="AE40" s="26"/>
      <c r="AF40" s="26"/>
      <c r="AG40" s="26"/>
      <c r="AH40" s="26"/>
      <c r="AI40" s="26"/>
      <c r="AJ40" s="26"/>
      <c r="AK40" s="26"/>
      <c r="AL40" s="26"/>
      <c r="AM40" s="26"/>
    </row>
    <row r="41" spans="2:39" s="15" customFormat="1" hidden="1">
      <c r="B41" s="1106" t="s">
        <v>260</v>
      </c>
      <c r="C41" s="1099">
        <f>SUM(C40)</f>
        <v>53599.759999999995</v>
      </c>
      <c r="D41" s="1107">
        <f>SUM(D40)</f>
        <v>39282.49</v>
      </c>
      <c r="E41" s="1108">
        <f>SUM(E40:E40)</f>
        <v>40872.01</v>
      </c>
      <c r="F41" s="1109">
        <f>SUM(F40:F40)</f>
        <v>40872.01</v>
      </c>
      <c r="G41" s="1108">
        <f t="shared" si="6"/>
        <v>0</v>
      </c>
      <c r="H41" s="1118">
        <f t="shared" si="7"/>
        <v>0</v>
      </c>
      <c r="I41" s="144"/>
      <c r="J41" s="91"/>
      <c r="K41" s="91"/>
      <c r="L41" s="91"/>
      <c r="M41" s="91"/>
      <c r="N41" s="182"/>
      <c r="O41" s="206"/>
      <c r="P41" s="186"/>
      <c r="Q41" s="1097"/>
      <c r="R41" s="1097"/>
      <c r="S41" s="1097"/>
      <c r="T41" s="1097"/>
      <c r="U41" s="1097"/>
      <c r="V41" s="1097"/>
      <c r="W41" s="1097"/>
      <c r="X41" s="1097"/>
      <c r="Y41" s="1097"/>
      <c r="Z41" s="1097"/>
      <c r="AA41" s="1097"/>
      <c r="AB41" s="1097"/>
      <c r="AC41" s="1097"/>
      <c r="AD41" s="1097"/>
      <c r="AE41" s="1097"/>
      <c r="AF41" s="1097"/>
      <c r="AG41" s="1097"/>
      <c r="AH41" s="1097"/>
      <c r="AI41" s="1097"/>
      <c r="AJ41" s="1097"/>
      <c r="AK41" s="1097"/>
      <c r="AL41" s="1097"/>
      <c r="AM41" s="1097"/>
    </row>
    <row r="42" spans="2:39" s="152" customFormat="1" ht="9.75" customHeight="1">
      <c r="B42" s="21"/>
      <c r="C42" s="414"/>
      <c r="D42" s="315"/>
      <c r="E42" s="227"/>
      <c r="F42" s="422"/>
      <c r="G42" s="227"/>
      <c r="H42" s="1072"/>
      <c r="I42" s="1338"/>
      <c r="J42" s="1110"/>
      <c r="K42" s="1110"/>
      <c r="L42" s="1110"/>
      <c r="M42" s="1110"/>
      <c r="N42" s="1110"/>
      <c r="O42" s="1339"/>
      <c r="P42" s="1110"/>
      <c r="Q42" s="1110"/>
      <c r="R42" s="1110"/>
      <c r="S42" s="1110"/>
    </row>
    <row r="43" spans="2:39">
      <c r="B43" s="24" t="s">
        <v>261</v>
      </c>
      <c r="C43" s="415"/>
      <c r="D43" s="315"/>
      <c r="E43" s="227"/>
      <c r="F43" s="422"/>
      <c r="G43" s="227"/>
      <c r="H43" s="1072"/>
      <c r="I43" s="805"/>
      <c r="J43" s="157"/>
      <c r="K43" s="88"/>
      <c r="L43" s="88"/>
      <c r="M43" s="157"/>
      <c r="N43" s="181"/>
      <c r="O43" s="205"/>
    </row>
    <row r="44" spans="2:39">
      <c r="B44" s="491" t="s">
        <v>261</v>
      </c>
      <c r="C44" s="496">
        <f>'[7]REV&amp;EXP'!$G$82</f>
        <v>95668.21</v>
      </c>
      <c r="D44" s="492">
        <f>'[6]Student Government'!$D$44</f>
        <v>22899</v>
      </c>
      <c r="E44" s="493">
        <f>'[8]Student Government'!$F$49</f>
        <v>118983.27</v>
      </c>
      <c r="F44" s="1325">
        <f t="shared" ref="F44" si="8">(E44*2%)+E44</f>
        <v>121362.9354</v>
      </c>
      <c r="G44" s="493">
        <f>F44-E44</f>
        <v>2379.665399999998</v>
      </c>
      <c r="H44" s="1073">
        <f>G44/E44</f>
        <v>1.9999999999999983E-2</v>
      </c>
      <c r="I44" s="805"/>
      <c r="J44" s="157"/>
      <c r="K44" s="88"/>
      <c r="L44" s="88"/>
      <c r="M44" s="157"/>
      <c r="N44" s="181"/>
      <c r="O44" s="205"/>
    </row>
    <row r="45" spans="2:39">
      <c r="B45" s="531" t="s">
        <v>262</v>
      </c>
      <c r="C45" s="532">
        <f>SUM(C44)</f>
        <v>95668.21</v>
      </c>
      <c r="D45" s="533">
        <f>SUM(D44)</f>
        <v>22899</v>
      </c>
      <c r="E45" s="534">
        <f>SUM(E44:E44)</f>
        <v>118983.27</v>
      </c>
      <c r="F45" s="535">
        <f>SUM(F44:F44)</f>
        <v>121362.9354</v>
      </c>
      <c r="G45" s="534">
        <f>F45-E45</f>
        <v>2379.665399999998</v>
      </c>
      <c r="H45" s="713">
        <f>G45/E45</f>
        <v>1.9999999999999983E-2</v>
      </c>
      <c r="I45" s="805"/>
      <c r="J45" s="157"/>
      <c r="K45" s="88"/>
      <c r="L45" s="88"/>
      <c r="M45" s="157"/>
      <c r="N45" s="181"/>
      <c r="O45" s="205"/>
    </row>
    <row r="46" spans="2:39" s="26" customFormat="1" ht="20.25" customHeight="1">
      <c r="B46" s="22"/>
      <c r="C46" s="415"/>
      <c r="D46" s="315"/>
      <c r="E46" s="227"/>
      <c r="F46" s="422"/>
      <c r="G46" s="227"/>
      <c r="H46" s="1072"/>
      <c r="I46" s="805"/>
      <c r="J46" s="157"/>
      <c r="K46" s="88"/>
      <c r="L46" s="88"/>
      <c r="M46" s="157"/>
      <c r="N46" s="181"/>
      <c r="O46" s="205"/>
      <c r="P46" s="152"/>
    </row>
    <row r="47" spans="2:39" s="15" customFormat="1">
      <c r="B47" s="531" t="s">
        <v>263</v>
      </c>
      <c r="C47" s="532">
        <f>C45+C39+C33+C26+C22+C18+C11+C41</f>
        <v>477719.28999999992</v>
      </c>
      <c r="D47" s="546">
        <f>D45+D39+D33+D26+D22+D18+D11</f>
        <v>64089</v>
      </c>
      <c r="E47" s="534">
        <f>+E45+E39+E22+E18+E11+E26+E33+E41</f>
        <v>522243.37393744005</v>
      </c>
      <c r="F47" s="535">
        <f>+F45+F39+F22+F18+F11+F26+F33+F41</f>
        <v>531870.80121618882</v>
      </c>
      <c r="G47" s="534">
        <f>+F47-E47</f>
        <v>9627.4272787487716</v>
      </c>
      <c r="H47" s="713">
        <f>G47/E47</f>
        <v>1.8434752376393096E-2</v>
      </c>
      <c r="I47" s="805"/>
      <c r="J47" s="157"/>
      <c r="K47" s="88"/>
      <c r="L47" s="88"/>
      <c r="M47" s="157"/>
      <c r="N47" s="182"/>
      <c r="O47" s="206"/>
      <c r="P47" s="186"/>
    </row>
    <row r="48" spans="2:39" s="15" customFormat="1" ht="10.5" customHeight="1" thickBot="1">
      <c r="B48" s="1313"/>
      <c r="C48" s="1314"/>
      <c r="D48" s="1315"/>
      <c r="E48" s="1316"/>
      <c r="F48" s="1317"/>
      <c r="G48" s="1316"/>
      <c r="H48" s="1318" t="s">
        <v>38</v>
      </c>
      <c r="I48" s="1340"/>
      <c r="J48" s="137"/>
      <c r="K48" s="137"/>
      <c r="L48" s="137"/>
      <c r="M48" s="137"/>
      <c r="N48" s="1341"/>
      <c r="O48" s="1342"/>
      <c r="P48" s="186"/>
    </row>
    <row r="49" spans="2:16" s="15" customFormat="1">
      <c r="B49" s="195" t="s">
        <v>264</v>
      </c>
      <c r="C49" s="1379"/>
      <c r="D49" s="1380"/>
      <c r="E49" s="1381"/>
      <c r="F49" s="1381"/>
      <c r="G49" s="17"/>
      <c r="H49" s="17"/>
      <c r="I49" s="107"/>
      <c r="J49" s="157"/>
      <c r="K49"/>
      <c r="L49"/>
      <c r="M49" s="108"/>
      <c r="N49" s="182"/>
      <c r="O49" s="182"/>
      <c r="P49" s="186"/>
    </row>
    <row r="50" spans="2:16" ht="17.25" customHeight="1">
      <c r="B50" s="1113" t="s">
        <v>265</v>
      </c>
      <c r="C50" s="746">
        <f>'[7]REV&amp;EXP'!$G$67+'[7]REV&amp;EXP'!$G$86</f>
        <v>4572.38</v>
      </c>
      <c r="D50" s="417">
        <f>'[6]Student Government'!$D$52</f>
        <v>1321</v>
      </c>
      <c r="E50" s="1381"/>
      <c r="F50" s="1381"/>
      <c r="G50" s="17"/>
      <c r="H50" s="17"/>
      <c r="I50" s="107"/>
      <c r="J50" s="157"/>
      <c r="K50"/>
      <c r="L50"/>
      <c r="M50" s="108"/>
      <c r="N50" s="181"/>
      <c r="O50" s="181"/>
    </row>
    <row r="51" spans="2:16" ht="13.9" customHeight="1">
      <c r="C51" s="2"/>
      <c r="E51" s="2"/>
      <c r="F51" s="2"/>
      <c r="G51" s="2"/>
      <c r="H51" s="2"/>
      <c r="I51" s="15"/>
      <c r="J51" s="88"/>
      <c r="K51"/>
      <c r="L51"/>
      <c r="M51"/>
    </row>
    <row r="52" spans="2:16">
      <c r="C52" s="2"/>
      <c r="E52" s="2"/>
      <c r="F52" s="2"/>
      <c r="G52" s="2"/>
      <c r="H52" s="2"/>
      <c r="I52" s="107"/>
      <c r="J52" s="157"/>
      <c r="K52"/>
      <c r="L52"/>
      <c r="M52" s="108"/>
    </row>
    <row r="53" spans="2:16">
      <c r="B53" s="26"/>
      <c r="C53" s="282"/>
      <c r="D53" s="282"/>
      <c r="E53" s="1382"/>
      <c r="F53" s="17"/>
      <c r="G53" s="17"/>
      <c r="H53" s="17"/>
      <c r="I53" s="107"/>
      <c r="J53" s="157"/>
      <c r="K53"/>
      <c r="L53"/>
      <c r="M53" s="108"/>
    </row>
    <row r="54" spans="2:16">
      <c r="B54" s="1383"/>
      <c r="C54" s="1384"/>
      <c r="D54" s="417"/>
      <c r="E54" s="1382"/>
      <c r="F54" s="17"/>
      <c r="G54" s="17"/>
      <c r="H54" s="17"/>
      <c r="I54" s="107"/>
      <c r="J54" s="157"/>
      <c r="K54"/>
      <c r="L54"/>
      <c r="M54" s="108"/>
    </row>
    <row r="55" spans="2:16">
      <c r="B55" s="498"/>
      <c r="C55" s="497"/>
      <c r="D55" s="417"/>
      <c r="E55" s="1382"/>
      <c r="F55" s="1385"/>
      <c r="G55" s="17"/>
      <c r="H55" s="17"/>
      <c r="I55" s="107"/>
      <c r="J55" s="157"/>
      <c r="K55"/>
      <c r="L55"/>
      <c r="M55" s="108"/>
    </row>
    <row r="56" spans="2:16">
      <c r="B56" s="1383"/>
      <c r="C56" s="1384"/>
      <c r="D56" s="152"/>
      <c r="E56" s="1382"/>
      <c r="F56" s="17"/>
      <c r="G56" s="17"/>
      <c r="H56" s="17"/>
      <c r="I56" s="15"/>
      <c r="J56" s="88"/>
      <c r="K56"/>
      <c r="L56"/>
      <c r="M56"/>
    </row>
    <row r="57" spans="2:16">
      <c r="B57" s="1383"/>
      <c r="C57" s="1384"/>
      <c r="D57" s="152"/>
      <c r="E57" s="1382"/>
      <c r="F57" s="17"/>
      <c r="G57" s="17"/>
      <c r="H57" s="17"/>
      <c r="I57" s="107"/>
      <c r="J57" s="157"/>
      <c r="K57"/>
      <c r="L57"/>
      <c r="M57" s="108"/>
    </row>
    <row r="58" spans="2:16">
      <c r="B58" s="498"/>
      <c r="C58" s="497"/>
      <c r="D58" s="152"/>
      <c r="E58" s="1382"/>
      <c r="F58" s="17"/>
      <c r="G58" s="17"/>
      <c r="H58" s="499"/>
      <c r="I58" s="107"/>
      <c r="J58" s="157"/>
      <c r="K58"/>
      <c r="L58"/>
      <c r="M58" s="108"/>
    </row>
    <row r="59" spans="2:16">
      <c r="B59" s="500"/>
      <c r="C59" s="501"/>
      <c r="D59" s="152"/>
      <c r="E59" s="1382"/>
      <c r="F59" s="17"/>
      <c r="G59" s="17"/>
      <c r="H59" s="499"/>
      <c r="I59" s="107"/>
      <c r="J59" s="157"/>
      <c r="K59"/>
      <c r="L59"/>
      <c r="M59" s="108"/>
    </row>
    <row r="60" spans="2:16">
      <c r="B60" s="500"/>
      <c r="C60" s="501"/>
      <c r="D60" s="152"/>
      <c r="E60" s="1382"/>
      <c r="F60" s="17"/>
      <c r="G60" s="17"/>
      <c r="H60" s="499"/>
      <c r="I60"/>
      <c r="J60"/>
      <c r="K60"/>
      <c r="L60"/>
      <c r="M60" s="108"/>
    </row>
    <row r="61" spans="2:16">
      <c r="B61" s="500"/>
      <c r="C61" s="501"/>
      <c r="D61" s="152"/>
      <c r="E61" s="1382"/>
      <c r="F61" s="17"/>
      <c r="G61" s="17"/>
      <c r="H61" s="499"/>
      <c r="I61"/>
      <c r="J61"/>
      <c r="K61"/>
      <c r="L61"/>
      <c r="M61"/>
    </row>
    <row r="62" spans="2:16">
      <c r="B62" s="498"/>
      <c r="C62" s="497"/>
      <c r="D62" s="152"/>
      <c r="E62" s="1382"/>
      <c r="F62" s="17"/>
      <c r="G62" s="17"/>
      <c r="H62" s="17"/>
      <c r="I62"/>
      <c r="J62"/>
      <c r="K62"/>
      <c r="L62"/>
      <c r="M62" s="108"/>
    </row>
    <row r="63" spans="2:16">
      <c r="B63" s="498"/>
      <c r="C63" s="497"/>
      <c r="D63" s="152"/>
      <c r="E63" s="1382"/>
      <c r="F63" s="17"/>
      <c r="G63" s="17"/>
      <c r="H63" s="17"/>
      <c r="I63"/>
      <c r="J63"/>
      <c r="K63"/>
      <c r="L63"/>
      <c r="M63" s="108"/>
    </row>
    <row r="64" spans="2:16">
      <c r="B64" s="498"/>
      <c r="C64" s="497"/>
      <c r="D64" s="152"/>
      <c r="E64" s="1382"/>
      <c r="F64" s="17"/>
      <c r="G64" s="17"/>
      <c r="H64" s="17"/>
      <c r="I64"/>
      <c r="J64"/>
      <c r="K64"/>
      <c r="L64"/>
      <c r="M64" s="108"/>
    </row>
    <row r="65" spans="2:13">
      <c r="B65" s="185"/>
      <c r="C65" s="502"/>
      <c r="D65" s="152"/>
      <c r="E65" s="17"/>
      <c r="F65" s="17"/>
      <c r="G65" s="152"/>
      <c r="H65" s="503"/>
      <c r="I65"/>
      <c r="J65"/>
      <c r="K65"/>
      <c r="L65"/>
      <c r="M65" s="108"/>
    </row>
    <row r="66" spans="2:13">
      <c r="B66" s="504"/>
      <c r="C66" s="505"/>
      <c r="D66" s="152"/>
      <c r="E66" s="1382"/>
      <c r="F66" s="17"/>
      <c r="G66" s="17"/>
      <c r="H66" s="17"/>
      <c r="I66"/>
      <c r="J66"/>
      <c r="K66"/>
      <c r="L66"/>
      <c r="M66" s="2"/>
    </row>
    <row r="67" spans="2:13">
      <c r="B67" s="151"/>
      <c r="C67" s="506"/>
      <c r="D67" s="152"/>
      <c r="E67" s="1382"/>
      <c r="F67" s="17"/>
      <c r="G67" s="17"/>
      <c r="H67" s="17"/>
      <c r="I67"/>
      <c r="J67"/>
      <c r="K67"/>
      <c r="L67"/>
      <c r="M67" s="2"/>
    </row>
    <row r="68" spans="2:13">
      <c r="B68" s="504"/>
      <c r="C68" s="505"/>
      <c r="D68" s="17"/>
      <c r="E68" s="1382"/>
      <c r="F68" s="17"/>
      <c r="G68" s="17"/>
      <c r="H68" s="17"/>
      <c r="I68" s="2"/>
      <c r="J68" s="18"/>
      <c r="K68"/>
      <c r="L68"/>
      <c r="M68" s="2"/>
    </row>
    <row r="69" spans="2:13">
      <c r="B69" s="152"/>
      <c r="C69" s="16"/>
      <c r="D69" s="17"/>
      <c r="E69" s="1382"/>
      <c r="F69" s="17"/>
      <c r="G69" s="17"/>
      <c r="H69" s="17"/>
      <c r="I69" s="2"/>
      <c r="J69" s="18"/>
      <c r="K69" s="2"/>
      <c r="L69" s="2"/>
      <c r="M69" s="2"/>
    </row>
    <row r="70" spans="2:13" ht="17.25">
      <c r="B70" s="507"/>
      <c r="C70" s="508"/>
      <c r="D70" s="17"/>
      <c r="E70" s="1382"/>
      <c r="F70" s="17"/>
      <c r="G70" s="17"/>
      <c r="H70" s="17"/>
      <c r="I70" s="2"/>
      <c r="J70" s="18"/>
      <c r="K70" s="2"/>
      <c r="L70" s="2"/>
      <c r="M70" s="2"/>
    </row>
    <row r="71" spans="2:13">
      <c r="B71" s="152"/>
      <c r="C71" s="16"/>
      <c r="D71" s="17"/>
      <c r="E71" s="17"/>
      <c r="F71" s="17"/>
      <c r="G71" s="17"/>
      <c r="H71" s="17"/>
      <c r="I71" s="2"/>
      <c r="J71" s="18"/>
      <c r="K71" s="2"/>
      <c r="L71" s="2"/>
      <c r="M71" s="2"/>
    </row>
    <row r="72" spans="2:13">
      <c r="B72" s="152"/>
      <c r="C72" s="16"/>
      <c r="D72" s="152"/>
      <c r="E72" s="17"/>
      <c r="F72" s="17"/>
      <c r="G72" s="17"/>
      <c r="H72" s="17"/>
      <c r="I72" s="2"/>
      <c r="J72" s="18"/>
      <c r="K72" s="2"/>
      <c r="L72" s="2"/>
      <c r="M72" s="2"/>
    </row>
    <row r="73" spans="2:13">
      <c r="B73" s="152"/>
      <c r="C73" s="16"/>
      <c r="D73" s="152"/>
      <c r="E73" s="17"/>
      <c r="F73" s="503"/>
      <c r="G73" s="17"/>
      <c r="H73" s="17"/>
      <c r="I73" s="2"/>
      <c r="J73" s="18"/>
      <c r="K73" s="2"/>
      <c r="L73" s="2"/>
      <c r="M73" s="2"/>
    </row>
    <row r="74" spans="2:13">
      <c r="B74" s="152"/>
      <c r="C74" s="16"/>
      <c r="D74" s="152"/>
      <c r="E74" s="17"/>
      <c r="F74" s="17"/>
      <c r="G74" s="17"/>
      <c r="H74" s="17"/>
      <c r="I74" s="2"/>
      <c r="J74" s="18"/>
      <c r="K74" s="2"/>
      <c r="L74" s="2"/>
      <c r="M74" s="2"/>
    </row>
    <row r="75" spans="2:13">
      <c r="B75" s="17"/>
      <c r="C75" s="509"/>
      <c r="D75" s="152"/>
      <c r="E75" s="17"/>
      <c r="F75" s="17"/>
      <c r="G75" s="17"/>
      <c r="H75" s="17"/>
      <c r="I75" s="2"/>
      <c r="J75" s="18"/>
      <c r="K75" s="2"/>
      <c r="L75" s="2"/>
      <c r="M75" s="2"/>
    </row>
    <row r="76" spans="2:13">
      <c r="B76" s="17"/>
      <c r="C76" s="509"/>
      <c r="D76" s="152"/>
      <c r="E76" s="17"/>
      <c r="F76" s="17"/>
      <c r="G76" s="17"/>
      <c r="H76" s="17"/>
      <c r="I76" s="2"/>
      <c r="J76" s="18"/>
      <c r="K76" s="2"/>
      <c r="L76" s="2"/>
      <c r="M76" s="2"/>
    </row>
    <row r="77" spans="2:13">
      <c r="B77" s="17"/>
      <c r="C77" s="509"/>
      <c r="D77" s="152"/>
      <c r="E77" s="17"/>
      <c r="F77" s="17"/>
      <c r="G77" s="17"/>
      <c r="H77" s="17"/>
      <c r="I77" s="2"/>
      <c r="J77" s="18"/>
      <c r="K77" s="2"/>
      <c r="L77" s="2"/>
      <c r="M77" s="2"/>
    </row>
    <row r="78" spans="2:13">
      <c r="B78" s="152"/>
      <c r="C78" s="16"/>
      <c r="D78" s="152"/>
      <c r="E78" s="17"/>
      <c r="F78" s="17"/>
      <c r="G78" s="17"/>
      <c r="H78" s="17"/>
      <c r="I78" s="2"/>
      <c r="J78" s="18"/>
      <c r="K78" s="2"/>
      <c r="L78" s="2"/>
      <c r="M78" s="2"/>
    </row>
    <row r="79" spans="2:13">
      <c r="B79" s="152"/>
      <c r="C79" s="16"/>
      <c r="D79" s="152"/>
      <c r="E79" s="17"/>
      <c r="F79" s="17"/>
      <c r="G79" s="17"/>
      <c r="H79" s="17"/>
      <c r="I79" s="2"/>
      <c r="J79" s="18"/>
      <c r="K79" s="2"/>
      <c r="L79" s="2"/>
      <c r="M79" s="2"/>
    </row>
    <row r="80" spans="2:13">
      <c r="B80" s="152"/>
      <c r="C80" s="16"/>
      <c r="D80" s="152"/>
      <c r="E80" s="17"/>
      <c r="F80" s="17"/>
      <c r="G80" s="17"/>
      <c r="H80" s="17"/>
      <c r="I80" s="2"/>
      <c r="J80" s="18"/>
      <c r="K80" s="2"/>
      <c r="L80" s="2"/>
      <c r="M80" s="2"/>
    </row>
    <row r="81" spans="2:10">
      <c r="B81" s="152"/>
      <c r="C81" s="16"/>
      <c r="D81" s="152"/>
      <c r="E81" s="17"/>
      <c r="F81" s="17"/>
      <c r="G81" s="17"/>
      <c r="H81" s="17"/>
      <c r="I81" s="2"/>
      <c r="J81" s="18"/>
    </row>
    <row r="82" spans="2:10">
      <c r="B82" s="152"/>
      <c r="C82" s="16"/>
      <c r="D82" s="152"/>
      <c r="E82" s="17"/>
      <c r="F82" s="17"/>
      <c r="G82" s="17"/>
      <c r="H82" s="17"/>
      <c r="I82" s="2"/>
      <c r="J82" s="18"/>
    </row>
    <row r="83" spans="2:10">
      <c r="B83" s="152"/>
      <c r="C83" s="16"/>
      <c r="D83" s="152"/>
      <c r="E83" s="17"/>
      <c r="F83" s="17"/>
      <c r="G83" s="17"/>
      <c r="H83" s="17"/>
      <c r="I83" s="2"/>
      <c r="J83" s="18"/>
    </row>
    <row r="84" spans="2:10">
      <c r="B84" s="152"/>
      <c r="C84" s="16"/>
      <c r="D84" s="152"/>
      <c r="E84" s="17"/>
      <c r="F84" s="17"/>
      <c r="G84" s="17"/>
      <c r="H84" s="17"/>
      <c r="I84" s="2"/>
      <c r="J84" s="2"/>
    </row>
    <row r="85" spans="2:10">
      <c r="B85" s="152"/>
      <c r="C85" s="16"/>
      <c r="D85" s="152"/>
      <c r="E85" s="17"/>
      <c r="F85" s="17"/>
      <c r="G85" s="17"/>
      <c r="H85" s="17"/>
      <c r="I85" s="2"/>
      <c r="J85" s="2"/>
    </row>
    <row r="86" spans="2:10">
      <c r="B86" s="152"/>
      <c r="C86" s="16"/>
      <c r="D86" s="152"/>
      <c r="E86" s="17"/>
      <c r="F86" s="17"/>
      <c r="G86" s="17"/>
      <c r="H86" s="17"/>
      <c r="I86" s="2"/>
      <c r="J86" s="2"/>
    </row>
    <row r="87" spans="2:10">
      <c r="B87" s="152"/>
      <c r="C87" s="16"/>
      <c r="D87" s="152"/>
      <c r="E87" s="17"/>
      <c r="F87" s="17"/>
      <c r="G87" s="17"/>
      <c r="H87" s="17"/>
      <c r="I87" s="2"/>
      <c r="J87" s="2"/>
    </row>
    <row r="88" spans="2:10">
      <c r="B88" s="152"/>
      <c r="C88" s="16"/>
      <c r="D88" s="152"/>
      <c r="E88" s="17"/>
      <c r="F88" s="17"/>
      <c r="G88" s="17"/>
      <c r="H88" s="17"/>
      <c r="I88" s="2"/>
      <c r="J88" s="2"/>
    </row>
    <row r="89" spans="2:10">
      <c r="B89" s="152"/>
      <c r="C89" s="16"/>
      <c r="D89" s="152"/>
      <c r="E89" s="17"/>
      <c r="F89" s="17"/>
      <c r="G89" s="17"/>
      <c r="H89" s="17"/>
      <c r="I89" s="2"/>
      <c r="J89" s="2"/>
    </row>
    <row r="90" spans="2:10">
      <c r="B90" s="152"/>
      <c r="C90" s="16"/>
      <c r="D90" s="152"/>
      <c r="E90" s="17"/>
      <c r="F90" s="17"/>
      <c r="G90" s="17"/>
      <c r="H90" s="17"/>
      <c r="I90" s="2"/>
      <c r="J90" s="2"/>
    </row>
    <row r="91" spans="2:10">
      <c r="B91" s="152"/>
      <c r="C91" s="16"/>
      <c r="D91" s="152"/>
      <c r="E91" s="17"/>
      <c r="F91" s="17"/>
      <c r="G91" s="17"/>
      <c r="H91" s="17"/>
      <c r="I91" s="2"/>
      <c r="J91" s="2"/>
    </row>
    <row r="92" spans="2:10">
      <c r="B92" s="152"/>
      <c r="C92" s="16"/>
      <c r="D92" s="152"/>
      <c r="E92" s="17"/>
      <c r="F92" s="17"/>
      <c r="G92" s="17"/>
      <c r="H92" s="17"/>
      <c r="I92" s="2"/>
      <c r="J92" s="2"/>
    </row>
    <row r="93" spans="2:10">
      <c r="B93" s="152"/>
      <c r="C93" s="16"/>
      <c r="D93" s="152"/>
      <c r="E93" s="17"/>
      <c r="F93" s="17"/>
      <c r="G93" s="17"/>
      <c r="H93" s="17"/>
      <c r="I93" s="2"/>
      <c r="J93" s="2"/>
    </row>
    <row r="94" spans="2:10">
      <c r="B94" s="152"/>
      <c r="C94" s="16"/>
      <c r="D94" s="152"/>
      <c r="E94" s="17"/>
      <c r="F94" s="17"/>
      <c r="G94" s="17"/>
      <c r="H94" s="17"/>
      <c r="I94" s="2"/>
      <c r="J94" s="2"/>
    </row>
    <row r="95" spans="2:10">
      <c r="B95" s="26"/>
      <c r="C95" s="27"/>
      <c r="D95" s="26"/>
      <c r="E95" s="149"/>
      <c r="F95" s="149"/>
      <c r="G95" s="149"/>
      <c r="H95" s="149"/>
      <c r="I95" s="2"/>
      <c r="J95" s="2"/>
    </row>
    <row r="96" spans="2:10">
      <c r="B96" s="26"/>
      <c r="C96" s="27"/>
      <c r="D96" s="26"/>
      <c r="E96" s="149"/>
      <c r="F96" s="149"/>
      <c r="G96" s="149"/>
      <c r="H96" s="149"/>
      <c r="I96" s="2"/>
      <c r="J96" s="2"/>
    </row>
    <row r="97" spans="2:8">
      <c r="B97" s="26"/>
      <c r="C97" s="27"/>
      <c r="D97" s="26"/>
      <c r="E97" s="149"/>
      <c r="F97" s="149"/>
      <c r="G97" s="149"/>
      <c r="H97" s="149"/>
    </row>
    <row r="98" spans="2:8">
      <c r="B98" s="26"/>
      <c r="C98" s="27"/>
      <c r="D98" s="26"/>
      <c r="E98" s="149"/>
      <c r="F98" s="149"/>
      <c r="G98" s="149"/>
      <c r="H98" s="149"/>
    </row>
    <row r="99" spans="2:8">
      <c r="B99" s="26"/>
      <c r="C99" s="27"/>
      <c r="D99" s="26"/>
      <c r="E99" s="149"/>
      <c r="F99" s="149"/>
      <c r="G99" s="149"/>
      <c r="H99" s="149"/>
    </row>
    <row r="100" spans="2:8">
      <c r="B100" s="26"/>
      <c r="C100" s="27"/>
      <c r="D100" s="26"/>
      <c r="E100" s="149"/>
      <c r="F100" s="149"/>
      <c r="G100" s="149"/>
      <c r="H100" s="149"/>
    </row>
    <row r="101" spans="2:8">
      <c r="B101" s="26"/>
      <c r="C101" s="27"/>
      <c r="D101" s="26"/>
      <c r="E101" s="149"/>
      <c r="F101" s="149"/>
      <c r="G101" s="149"/>
      <c r="H101" s="149"/>
    </row>
    <row r="102" spans="2:8">
      <c r="B102" s="26"/>
      <c r="C102" s="27"/>
      <c r="D102" s="26"/>
      <c r="E102" s="149"/>
      <c r="F102" s="149"/>
      <c r="G102" s="149"/>
      <c r="H102" s="149"/>
    </row>
    <row r="103" spans="2:8">
      <c r="B103" s="26"/>
      <c r="C103" s="27"/>
      <c r="D103" s="26"/>
      <c r="E103" s="149"/>
      <c r="F103" s="149"/>
      <c r="G103" s="149"/>
      <c r="H103" s="149"/>
    </row>
    <row r="104" spans="2:8">
      <c r="B104" s="26"/>
      <c r="C104" s="27"/>
      <c r="D104" s="26"/>
      <c r="E104" s="149"/>
      <c r="F104" s="149"/>
      <c r="G104" s="149"/>
      <c r="H104" s="149"/>
    </row>
    <row r="105" spans="2:8">
      <c r="B105" s="26"/>
      <c r="C105" s="27"/>
      <c r="D105" s="26"/>
      <c r="E105" s="149"/>
      <c r="F105" s="149"/>
      <c r="G105" s="149"/>
      <c r="H105" s="149"/>
    </row>
    <row r="106" spans="2:8">
      <c r="B106" s="26"/>
      <c r="C106" s="27"/>
      <c r="D106" s="26"/>
      <c r="E106" s="149"/>
      <c r="F106" s="149"/>
      <c r="G106" s="149"/>
      <c r="H106" s="149"/>
    </row>
    <row r="107" spans="2:8">
      <c r="B107" s="26"/>
      <c r="C107" s="27"/>
      <c r="D107" s="26"/>
      <c r="E107" s="149"/>
      <c r="F107" s="149"/>
      <c r="G107" s="149"/>
      <c r="H107" s="149"/>
    </row>
    <row r="108" spans="2:8">
      <c r="B108" s="26"/>
      <c r="C108" s="27"/>
      <c r="D108" s="26"/>
      <c r="E108" s="149"/>
      <c r="F108" s="149"/>
      <c r="G108" s="149"/>
      <c r="H108" s="149"/>
    </row>
    <row r="109" spans="2:8">
      <c r="B109" s="26"/>
      <c r="C109" s="27"/>
      <c r="D109" s="26"/>
      <c r="E109" s="149"/>
      <c r="F109" s="149"/>
      <c r="G109" s="149"/>
      <c r="H109" s="149"/>
    </row>
    <row r="110" spans="2:8">
      <c r="B110" s="26"/>
      <c r="C110" s="27"/>
      <c r="D110" s="26"/>
      <c r="E110" s="149"/>
      <c r="F110" s="149"/>
      <c r="G110" s="149"/>
      <c r="H110" s="149"/>
    </row>
    <row r="111" spans="2:8">
      <c r="B111" s="26"/>
      <c r="C111" s="27"/>
      <c r="D111" s="26"/>
      <c r="E111" s="149"/>
      <c r="F111" s="149"/>
      <c r="G111" s="149"/>
      <c r="H111" s="149"/>
    </row>
    <row r="112" spans="2:8">
      <c r="B112" s="26"/>
      <c r="C112" s="27"/>
      <c r="D112" s="26"/>
      <c r="E112" s="149"/>
      <c r="F112" s="149"/>
      <c r="G112" s="149"/>
      <c r="H112" s="149"/>
    </row>
    <row r="113" spans="2:8">
      <c r="B113" s="26"/>
      <c r="C113" s="27"/>
      <c r="D113" s="26"/>
      <c r="E113" s="149"/>
      <c r="F113" s="149"/>
      <c r="G113" s="149"/>
      <c r="H113" s="149"/>
    </row>
    <row r="114" spans="2:8">
      <c r="B114" s="26"/>
      <c r="C114" s="27"/>
      <c r="D114" s="26"/>
      <c r="E114" s="149"/>
      <c r="F114" s="149"/>
      <c r="G114" s="149"/>
      <c r="H114" s="149"/>
    </row>
    <row r="115" spans="2:8">
      <c r="B115" s="26"/>
      <c r="C115" s="27"/>
      <c r="D115" s="26"/>
      <c r="E115" s="149"/>
      <c r="F115" s="149"/>
      <c r="G115" s="149"/>
      <c r="H115" s="149"/>
    </row>
    <row r="116" spans="2:8">
      <c r="B116" s="26"/>
      <c r="C116" s="27"/>
      <c r="D116" s="26"/>
      <c r="E116" s="149"/>
      <c r="F116" s="149"/>
      <c r="G116" s="149"/>
      <c r="H116" s="149"/>
    </row>
    <row r="117" spans="2:8">
      <c r="B117" s="26"/>
      <c r="C117" s="27"/>
      <c r="D117" s="26"/>
      <c r="E117" s="149"/>
      <c r="F117" s="149"/>
      <c r="G117" s="149"/>
      <c r="H117" s="149"/>
    </row>
    <row r="118" spans="2:8">
      <c r="B118" s="26"/>
      <c r="C118" s="27"/>
      <c r="D118" s="26"/>
      <c r="E118" s="149"/>
      <c r="F118" s="149"/>
      <c r="G118" s="149"/>
      <c r="H118" s="149"/>
    </row>
    <row r="119" spans="2:8">
      <c r="B119" s="26"/>
      <c r="C119" s="27"/>
      <c r="D119" s="26"/>
      <c r="E119" s="149"/>
      <c r="F119" s="149"/>
      <c r="G119" s="149"/>
      <c r="H119" s="149"/>
    </row>
    <row r="120" spans="2:8">
      <c r="B120" s="26"/>
      <c r="C120" s="27"/>
      <c r="D120" s="26"/>
      <c r="E120" s="149"/>
      <c r="F120" s="149"/>
      <c r="G120" s="149"/>
      <c r="H120" s="149"/>
    </row>
    <row r="121" spans="2:8">
      <c r="B121" s="26"/>
      <c r="C121" s="27"/>
      <c r="D121" s="26"/>
      <c r="E121" s="149"/>
      <c r="F121" s="149"/>
      <c r="G121" s="149"/>
      <c r="H121" s="149"/>
    </row>
    <row r="122" spans="2:8">
      <c r="B122" s="26"/>
      <c r="C122" s="27"/>
      <c r="D122" s="26"/>
      <c r="E122" s="149"/>
      <c r="F122" s="149"/>
      <c r="G122" s="149"/>
      <c r="H122" s="149"/>
    </row>
    <row r="123" spans="2:8">
      <c r="B123" s="26"/>
      <c r="C123" s="27"/>
      <c r="D123" s="26"/>
      <c r="E123" s="149"/>
      <c r="F123" s="149"/>
      <c r="G123" s="149"/>
      <c r="H123" s="149"/>
    </row>
    <row r="124" spans="2:8">
      <c r="B124" s="26"/>
      <c r="C124" s="27"/>
      <c r="D124" s="26"/>
      <c r="E124" s="149"/>
      <c r="F124" s="149"/>
      <c r="G124" s="149"/>
      <c r="H124" s="149"/>
    </row>
    <row r="125" spans="2:8">
      <c r="B125" s="26"/>
      <c r="C125" s="27"/>
      <c r="D125" s="26"/>
      <c r="E125" s="149"/>
      <c r="F125" s="149"/>
      <c r="G125" s="149"/>
      <c r="H125" s="149"/>
    </row>
    <row r="126" spans="2:8">
      <c r="B126" s="26"/>
      <c r="C126" s="27"/>
      <c r="D126" s="26"/>
      <c r="E126" s="149"/>
      <c r="F126" s="149"/>
      <c r="G126" s="149"/>
      <c r="H126" s="149"/>
    </row>
    <row r="127" spans="2:8">
      <c r="B127" s="26"/>
      <c r="C127" s="27"/>
      <c r="D127" s="26"/>
      <c r="E127" s="149"/>
      <c r="F127" s="149"/>
      <c r="G127" s="149"/>
      <c r="H127" s="149"/>
    </row>
    <row r="128" spans="2:8">
      <c r="B128" s="26"/>
      <c r="C128" s="27"/>
      <c r="D128" s="26"/>
      <c r="E128" s="149"/>
      <c r="F128" s="149"/>
      <c r="G128" s="149"/>
      <c r="H128" s="149"/>
    </row>
    <row r="129" spans="2:8">
      <c r="B129" s="26"/>
      <c r="C129" s="27"/>
      <c r="D129" s="26"/>
      <c r="E129" s="149"/>
      <c r="F129" s="149"/>
      <c r="G129" s="149"/>
      <c r="H129" s="149"/>
    </row>
    <row r="130" spans="2:8">
      <c r="B130" s="26"/>
      <c r="C130" s="27"/>
      <c r="D130" s="26"/>
      <c r="E130" s="149"/>
      <c r="F130" s="149"/>
      <c r="G130" s="149"/>
      <c r="H130" s="149"/>
    </row>
    <row r="131" spans="2:8">
      <c r="B131" s="26"/>
      <c r="C131" s="27"/>
      <c r="D131" s="26"/>
      <c r="E131" s="149"/>
      <c r="F131" s="149"/>
      <c r="G131" s="149"/>
      <c r="H131" s="149"/>
    </row>
    <row r="132" spans="2:8">
      <c r="B132" s="26"/>
      <c r="C132" s="27"/>
      <c r="D132" s="26"/>
      <c r="E132" s="149"/>
      <c r="F132" s="149"/>
      <c r="G132" s="149"/>
      <c r="H132" s="149"/>
    </row>
    <row r="133" spans="2:8">
      <c r="B133" s="26"/>
      <c r="C133" s="27"/>
      <c r="D133" s="26"/>
      <c r="E133" s="149"/>
      <c r="F133" s="149"/>
      <c r="G133" s="149"/>
      <c r="H133" s="149"/>
    </row>
    <row r="134" spans="2:8">
      <c r="B134" s="26"/>
      <c r="C134" s="27"/>
      <c r="D134" s="26"/>
      <c r="E134" s="149"/>
      <c r="F134" s="149"/>
      <c r="G134" s="149"/>
      <c r="H134" s="149"/>
    </row>
    <row r="135" spans="2:8">
      <c r="B135" s="26"/>
      <c r="C135" s="27"/>
      <c r="D135" s="26"/>
      <c r="E135" s="149"/>
      <c r="F135" s="149"/>
      <c r="G135" s="149"/>
      <c r="H135" s="149"/>
    </row>
    <row r="136" spans="2:8">
      <c r="B136" s="26"/>
      <c r="C136" s="27"/>
      <c r="D136" s="26"/>
      <c r="E136" s="149"/>
      <c r="F136" s="149"/>
      <c r="G136" s="149"/>
      <c r="H136" s="149"/>
    </row>
    <row r="137" spans="2:8">
      <c r="B137" s="26"/>
      <c r="C137" s="27"/>
      <c r="D137" s="26"/>
      <c r="E137" s="149"/>
      <c r="F137" s="149"/>
      <c r="G137" s="149"/>
      <c r="H137" s="149"/>
    </row>
    <row r="138" spans="2:8">
      <c r="B138" s="26"/>
      <c r="C138" s="27"/>
      <c r="D138" s="26"/>
      <c r="E138" s="149"/>
      <c r="F138" s="149"/>
      <c r="G138" s="149"/>
      <c r="H138" s="149"/>
    </row>
    <row r="139" spans="2:8">
      <c r="B139" s="26"/>
      <c r="C139" s="27"/>
      <c r="D139" s="26"/>
      <c r="E139" s="149"/>
      <c r="F139" s="149"/>
      <c r="G139" s="149"/>
      <c r="H139" s="149"/>
    </row>
    <row r="140" spans="2:8">
      <c r="B140" s="26"/>
      <c r="C140" s="27"/>
      <c r="D140" s="26"/>
      <c r="E140" s="149"/>
      <c r="F140" s="149"/>
      <c r="G140" s="149"/>
      <c r="H140" s="149"/>
    </row>
    <row r="141" spans="2:8">
      <c r="H141" s="29"/>
    </row>
    <row r="142" spans="2:8">
      <c r="H142" s="29"/>
    </row>
    <row r="143" spans="2:8">
      <c r="H143" s="29"/>
    </row>
    <row r="144" spans="2:8">
      <c r="H144" s="29"/>
    </row>
    <row r="145" spans="8:8">
      <c r="H145" s="29"/>
    </row>
    <row r="146" spans="8:8">
      <c r="H146" s="29"/>
    </row>
    <row r="147" spans="8:8">
      <c r="H147" s="29"/>
    </row>
    <row r="148" spans="8:8">
      <c r="H148" s="29"/>
    </row>
    <row r="149" spans="8:8">
      <c r="H149" s="29"/>
    </row>
    <row r="150" spans="8:8">
      <c r="H150" s="29"/>
    </row>
    <row r="151" spans="8:8">
      <c r="H151" s="29"/>
    </row>
    <row r="152" spans="8:8">
      <c r="H152" s="29"/>
    </row>
    <row r="153" spans="8:8">
      <c r="H153" s="29"/>
    </row>
    <row r="154" spans="8:8">
      <c r="H154" s="29"/>
    </row>
    <row r="155" spans="8:8">
      <c r="H155" s="29"/>
    </row>
    <row r="156" spans="8:8">
      <c r="H156" s="29"/>
    </row>
    <row r="157" spans="8:8">
      <c r="H157" s="29"/>
    </row>
    <row r="158" spans="8:8">
      <c r="H158" s="29"/>
    </row>
    <row r="159" spans="8:8">
      <c r="H159" s="29"/>
    </row>
    <row r="160" spans="8:8">
      <c r="H160" s="29"/>
    </row>
    <row r="161" spans="8:8">
      <c r="H161" s="29"/>
    </row>
    <row r="162" spans="8:8">
      <c r="H162" s="29"/>
    </row>
    <row r="163" spans="8:8">
      <c r="H163" s="29"/>
    </row>
    <row r="164" spans="8:8">
      <c r="H164" s="29"/>
    </row>
    <row r="165" spans="8:8">
      <c r="H165" s="29"/>
    </row>
    <row r="166" spans="8:8">
      <c r="H166" s="29"/>
    </row>
    <row r="167" spans="8:8">
      <c r="H167" s="29"/>
    </row>
    <row r="168" spans="8:8">
      <c r="H168" s="29"/>
    </row>
    <row r="169" spans="8:8">
      <c r="H169" s="29"/>
    </row>
    <row r="170" spans="8:8">
      <c r="H170" s="29"/>
    </row>
    <row r="171" spans="8:8">
      <c r="H171" s="29"/>
    </row>
    <row r="172" spans="8:8">
      <c r="H172" s="29"/>
    </row>
    <row r="173" spans="8:8">
      <c r="H173" s="29"/>
    </row>
    <row r="174" spans="8:8">
      <c r="H174" s="29"/>
    </row>
  </sheetData>
  <mergeCells count="1">
    <mergeCell ref="J2:M2"/>
  </mergeCells>
  <phoneticPr fontId="57" type="noConversion"/>
  <pageMargins left="0.75" right="0.75" top="1" bottom="1" header="0.5" footer="0.5"/>
  <pageSetup paperSize="3" scale="8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39997558519241921"/>
  </sheetPr>
  <dimension ref="B1:Q78"/>
  <sheetViews>
    <sheetView zoomScaleNormal="100" workbookViewId="0">
      <pane xSplit="2" ySplit="3" topLeftCell="C28" activePane="bottomRight" state="frozen"/>
      <selection pane="topRight" activeCell="N34" sqref="N34"/>
      <selection pane="bottomLeft" activeCell="N34" sqref="N34"/>
      <selection pane="bottomRight" activeCell="C28" sqref="C28"/>
    </sheetView>
  </sheetViews>
  <sheetFormatPr defaultColWidth="10.86328125" defaultRowHeight="15"/>
  <cols>
    <col min="1" max="1" width="3.73046875" style="2" customWidth="1"/>
    <col min="2" max="2" width="42.59765625" style="2" customWidth="1"/>
    <col min="3" max="3" width="15.265625" style="31" customWidth="1"/>
    <col min="4" max="4" width="16.265625" style="172" customWidth="1"/>
    <col min="5" max="5" width="28.73046875" style="29" customWidth="1"/>
    <col min="6" max="6" width="31.59765625" style="29" customWidth="1"/>
    <col min="7" max="7" width="18.265625" style="29" customWidth="1"/>
    <col min="8" max="8" width="14.3984375" style="155" customWidth="1"/>
    <col min="9" max="9" width="8.86328125" customWidth="1"/>
    <col min="10" max="10" width="8" style="2" customWidth="1"/>
    <col min="11" max="11" width="7.3984375" style="2" customWidth="1"/>
    <col min="12" max="12" width="7" style="2" customWidth="1"/>
    <col min="13" max="13" width="8.86328125" style="2" customWidth="1"/>
    <col min="14" max="14" width="6" style="2" customWidth="1"/>
    <col min="15" max="15" width="4" style="18" customWidth="1"/>
    <col min="16" max="16" width="4.265625" style="2" customWidth="1"/>
    <col min="17" max="17" width="10.86328125" style="2" customWidth="1"/>
    <col min="18" max="16384" width="10.86328125" style="2"/>
  </cols>
  <sheetData>
    <row r="1" spans="2:17" s="1" customFormat="1" ht="27.75">
      <c r="B1" s="295" t="s">
        <v>266</v>
      </c>
      <c r="C1" s="324"/>
      <c r="D1" s="1386"/>
      <c r="E1" s="335"/>
      <c r="F1" s="289"/>
      <c r="G1" s="336"/>
      <c r="H1" s="563"/>
      <c r="I1" s="298"/>
      <c r="J1" s="291"/>
      <c r="K1" s="291"/>
      <c r="L1" s="659" t="e">
        <f>'Student Government'!#REF!</f>
        <v>#REF!</v>
      </c>
      <c r="M1" s="291"/>
      <c r="N1" s="291"/>
      <c r="O1" s="574"/>
      <c r="P1" s="291"/>
      <c r="Q1" s="299"/>
    </row>
    <row r="2" spans="2:17">
      <c r="B2" s="296" t="s">
        <v>10</v>
      </c>
      <c r="C2" s="325" t="str">
        <f>'Student Government'!C2</f>
        <v>2016-17</v>
      </c>
      <c r="D2" s="333" t="str">
        <f>'Student Government'!D2</f>
        <v>YTD 2017-18</v>
      </c>
      <c r="E2" s="1387" t="str">
        <f>'Student Government'!E2</f>
        <v>2017-18</v>
      </c>
      <c r="F2" s="293" t="str">
        <f>'Student Government'!F2</f>
        <v>Proposed Operating Budget</v>
      </c>
      <c r="G2" s="341" t="s">
        <v>63</v>
      </c>
      <c r="H2" s="1388" t="s">
        <v>64</v>
      </c>
      <c r="I2" s="300"/>
      <c r="J2" s="1389"/>
      <c r="K2" s="1389"/>
      <c r="L2" s="1389"/>
      <c r="M2" s="1389"/>
      <c r="N2" s="1389"/>
      <c r="O2" s="1389"/>
      <c r="P2" s="320"/>
      <c r="Q2" s="321"/>
    </row>
    <row r="3" spans="2:17" ht="17.25" customHeight="1" thickBot="1">
      <c r="B3" s="297"/>
      <c r="C3" s="326" t="str">
        <f>'Student Government'!C3</f>
        <v>Actual</v>
      </c>
      <c r="D3" s="334">
        <f>'Student Government'!D3</f>
        <v>43008</v>
      </c>
      <c r="E3" s="386" t="str">
        <f>'Student Government'!E3</f>
        <v>Approved Operating Budget</v>
      </c>
      <c r="F3" s="337" t="str">
        <f>'Student Government'!F3</f>
        <v>(2% Inc. for Salary &amp; Op Exp)</v>
      </c>
      <c r="G3" s="342" t="s">
        <v>65</v>
      </c>
      <c r="H3" s="1390" t="s">
        <v>66</v>
      </c>
      <c r="I3" s="301"/>
      <c r="J3" s="1391"/>
      <c r="K3" s="1392"/>
      <c r="L3" s="1393" t="str">
        <f>'[2]Student Government'!T3</f>
        <v>Comment/Variance Explanation</v>
      </c>
      <c r="M3" s="1392"/>
      <c r="N3" s="1392"/>
      <c r="O3" s="1392"/>
      <c r="P3" s="322"/>
      <c r="Q3" s="323"/>
    </row>
    <row r="4" spans="2:17" ht="4.5" customHeight="1">
      <c r="B4" s="378"/>
      <c r="C4" s="1394"/>
      <c r="D4" s="419"/>
      <c r="E4" s="1395"/>
      <c r="F4" s="1395"/>
      <c r="G4" s="1395"/>
      <c r="H4" s="1396"/>
      <c r="I4" s="371"/>
      <c r="J4" s="1395"/>
      <c r="K4" s="1397"/>
      <c r="L4" s="1397"/>
      <c r="M4" s="1397"/>
      <c r="N4" s="1397"/>
      <c r="O4" s="1397"/>
      <c r="P4" s="7"/>
      <c r="Q4" s="416"/>
    </row>
    <row r="5" spans="2:17" s="13" customFormat="1" ht="24.75" thickBot="1">
      <c r="B5" s="8" t="s">
        <v>12</v>
      </c>
      <c r="C5" s="306"/>
      <c r="D5" s="328"/>
      <c r="E5" s="9"/>
      <c r="F5" s="479"/>
      <c r="G5" s="9"/>
      <c r="H5" s="564"/>
      <c r="I5" s="575"/>
      <c r="J5" s="449"/>
      <c r="K5" s="450"/>
      <c r="L5" s="451"/>
      <c r="M5" s="451"/>
      <c r="N5" s="179"/>
      <c r="O5" s="179"/>
      <c r="P5" s="179"/>
      <c r="Q5" s="180"/>
    </row>
    <row r="6" spans="2:17" ht="27.75" customHeight="1">
      <c r="B6" s="635" t="s">
        <v>267</v>
      </c>
      <c r="C6" s="636">
        <f>'[13]REV&amp;EXP'!$H$58</f>
        <v>2600</v>
      </c>
      <c r="D6" s="637">
        <f>'[14]REV&amp;EXP'!$H$58</f>
        <v>2600</v>
      </c>
      <c r="E6" s="638">
        <f>'[15]Student Service Center'!$F$6</f>
        <v>2500</v>
      </c>
      <c r="F6" s="639">
        <v>0</v>
      </c>
      <c r="G6" s="638">
        <f t="shared" ref="G6:G14" si="0">F6-E6</f>
        <v>-2500</v>
      </c>
      <c r="H6" s="594">
        <f t="shared" ref="H6:H14" si="1">G6/E6</f>
        <v>-1</v>
      </c>
      <c r="I6" s="1461" t="s">
        <v>268</v>
      </c>
      <c r="J6" s="1462"/>
      <c r="K6" s="1462"/>
      <c r="L6" s="1462"/>
      <c r="M6" s="1462"/>
      <c r="N6" s="1462"/>
      <c r="O6" s="1462"/>
      <c r="P6" s="1462"/>
      <c r="Q6" s="1463"/>
    </row>
    <row r="7" spans="2:17" ht="29.25" customHeight="1">
      <c r="B7" s="601" t="s">
        <v>269</v>
      </c>
      <c r="C7" s="602">
        <f>'[13]REV&amp;EXP'!$H$57</f>
        <v>-7698.83</v>
      </c>
      <c r="D7" s="603">
        <f>'[14]REV&amp;EXP'!$H$57</f>
        <v>-7698.83</v>
      </c>
      <c r="E7" s="604">
        <f>'[15]Student Service Center'!$F$7</f>
        <v>-9554</v>
      </c>
      <c r="F7" s="605">
        <f>[16]Revenue!$I$18</f>
        <v>0</v>
      </c>
      <c r="G7" s="604">
        <f t="shared" si="0"/>
        <v>9554</v>
      </c>
      <c r="H7" s="606">
        <f t="shared" si="1"/>
        <v>-1</v>
      </c>
      <c r="I7" s="1455" t="s">
        <v>268</v>
      </c>
      <c r="J7" s="1456"/>
      <c r="K7" s="1456"/>
      <c r="L7" s="1456"/>
      <c r="M7" s="1456"/>
      <c r="N7" s="1456"/>
      <c r="O7" s="1456"/>
      <c r="P7" s="1456"/>
      <c r="Q7" s="1457"/>
    </row>
    <row r="8" spans="2:17" ht="26.25" customHeight="1">
      <c r="B8" s="590" t="s">
        <v>270</v>
      </c>
      <c r="C8" s="600">
        <f>'[14]REV&amp;EXP'!$H$59</f>
        <v>2139.4299999999998</v>
      </c>
      <c r="D8" s="640">
        <f>'[14]REV&amp;EXP'!$H$59</f>
        <v>2139.4299999999998</v>
      </c>
      <c r="E8" s="592">
        <f>'[15]Student Service Center'!$F$8</f>
        <v>4500</v>
      </c>
      <c r="F8" s="593">
        <v>0</v>
      </c>
      <c r="G8" s="641">
        <f t="shared" si="0"/>
        <v>-4500</v>
      </c>
      <c r="H8" s="607">
        <f t="shared" si="1"/>
        <v>-1</v>
      </c>
      <c r="I8" s="1461" t="s">
        <v>268</v>
      </c>
      <c r="J8" s="1462"/>
      <c r="K8" s="1462"/>
      <c r="L8" s="1462"/>
      <c r="M8" s="1462"/>
      <c r="N8" s="1462"/>
      <c r="O8" s="1462"/>
      <c r="P8" s="1462"/>
      <c r="Q8" s="1463"/>
    </row>
    <row r="9" spans="2:17" ht="25.5" customHeight="1">
      <c r="B9" s="601" t="s">
        <v>271</v>
      </c>
      <c r="C9" s="602">
        <f>'[14]REV&amp;EXP'!$H$56</f>
        <v>2001</v>
      </c>
      <c r="D9" s="604">
        <f>'[14]REV&amp;EXP'!$H$56</f>
        <v>2001</v>
      </c>
      <c r="E9" s="604">
        <f>'[15]Student Service Center'!$F$9</f>
        <v>1250</v>
      </c>
      <c r="F9" s="604">
        <v>0</v>
      </c>
      <c r="G9" s="604">
        <f t="shared" si="0"/>
        <v>-1250</v>
      </c>
      <c r="H9" s="606">
        <f t="shared" si="1"/>
        <v>-1</v>
      </c>
      <c r="I9" s="1455" t="s">
        <v>268</v>
      </c>
      <c r="J9" s="1456"/>
      <c r="K9" s="1456"/>
      <c r="L9" s="1456"/>
      <c r="M9" s="1456"/>
      <c r="N9" s="1456"/>
      <c r="O9" s="1456"/>
      <c r="P9" s="1456"/>
      <c r="Q9" s="1457"/>
    </row>
    <row r="10" spans="2:17" ht="26.25" customHeight="1">
      <c r="B10" s="642" t="s">
        <v>272</v>
      </c>
      <c r="C10" s="643">
        <f>'[14]REV&amp;EXP'!$H$54</f>
        <v>346.98</v>
      </c>
      <c r="D10" s="644">
        <f>'[14]REV&amp;EXP'!$H$54</f>
        <v>346.98</v>
      </c>
      <c r="E10" s="644">
        <f>'[15]Student Service Center'!$F$10</f>
        <v>1250</v>
      </c>
      <c r="F10" s="644">
        <v>0</v>
      </c>
      <c r="G10" s="644">
        <f t="shared" si="0"/>
        <v>-1250</v>
      </c>
      <c r="H10" s="645">
        <f>G10/E10</f>
        <v>-1</v>
      </c>
      <c r="I10" s="1461" t="s">
        <v>268</v>
      </c>
      <c r="J10" s="1462"/>
      <c r="K10" s="1462"/>
      <c r="L10" s="1462"/>
      <c r="M10" s="1462"/>
      <c r="N10" s="1462"/>
      <c r="O10" s="1462"/>
      <c r="P10" s="1462"/>
      <c r="Q10" s="1463"/>
    </row>
    <row r="11" spans="2:17" ht="28.5" customHeight="1">
      <c r="B11" s="601" t="s">
        <v>273</v>
      </c>
      <c r="C11" s="602">
        <f>'[14]REV&amp;EXP'!$H$53</f>
        <v>1201</v>
      </c>
      <c r="D11" s="603">
        <f>'[14]REV&amp;EXP'!$H$53</f>
        <v>1201</v>
      </c>
      <c r="E11" s="604">
        <f>'[15]Student Service Center'!$F$11</f>
        <v>1000</v>
      </c>
      <c r="F11" s="605">
        <v>0</v>
      </c>
      <c r="G11" s="604">
        <f t="shared" si="0"/>
        <v>-1000</v>
      </c>
      <c r="H11" s="606">
        <f>G11/E11</f>
        <v>-1</v>
      </c>
      <c r="I11" s="1455" t="s">
        <v>268</v>
      </c>
      <c r="J11" s="1456"/>
      <c r="K11" s="1456"/>
      <c r="L11" s="1456"/>
      <c r="M11" s="1456"/>
      <c r="N11" s="1456"/>
      <c r="O11" s="1456"/>
      <c r="P11" s="1456"/>
      <c r="Q11" s="1457"/>
    </row>
    <row r="12" spans="2:17" ht="28.5" customHeight="1">
      <c r="B12" s="590" t="s">
        <v>274</v>
      </c>
      <c r="C12" s="600">
        <f>'[14]REV&amp;EXP'!$H$52</f>
        <v>2316</v>
      </c>
      <c r="D12" s="640">
        <f>'[14]REV&amp;EXP'!$H$52</f>
        <v>2316</v>
      </c>
      <c r="E12" s="592">
        <f>'[15]Student Service Center'!$F$12</f>
        <v>2000</v>
      </c>
      <c r="F12" s="593">
        <v>0</v>
      </c>
      <c r="G12" s="592">
        <f t="shared" si="0"/>
        <v>-2000</v>
      </c>
      <c r="H12" s="607">
        <f>G12/E12</f>
        <v>-1</v>
      </c>
      <c r="I12" s="1461" t="s">
        <v>268</v>
      </c>
      <c r="J12" s="1462"/>
      <c r="K12" s="1462"/>
      <c r="L12" s="1462"/>
      <c r="M12" s="1462"/>
      <c r="N12" s="1462"/>
      <c r="O12" s="1462"/>
      <c r="P12" s="1462"/>
      <c r="Q12" s="1463"/>
    </row>
    <row r="13" spans="2:17" ht="30" customHeight="1">
      <c r="B13" s="654" t="s">
        <v>275</v>
      </c>
      <c r="C13" s="655">
        <f>'[14]REV&amp;EXP'!$H$55</f>
        <v>1462.27</v>
      </c>
      <c r="D13" s="656">
        <f>'[14]REV&amp;EXP'!$H$55</f>
        <v>1462.27</v>
      </c>
      <c r="E13" s="657">
        <f>'[15]Student Service Center'!$F$13</f>
        <v>1000</v>
      </c>
      <c r="F13" s="658">
        <v>0</v>
      </c>
      <c r="G13" s="604">
        <f t="shared" si="0"/>
        <v>-1000</v>
      </c>
      <c r="H13" s="606">
        <f>G13/E13</f>
        <v>-1</v>
      </c>
      <c r="I13" s="1455" t="s">
        <v>268</v>
      </c>
      <c r="J13" s="1456"/>
      <c r="K13" s="1456"/>
      <c r="L13" s="1456"/>
      <c r="M13" s="1456"/>
      <c r="N13" s="1456"/>
      <c r="O13" s="1456"/>
      <c r="P13" s="1456"/>
      <c r="Q13" s="1457"/>
    </row>
    <row r="14" spans="2:17" s="15" customFormat="1">
      <c r="B14" s="531" t="s">
        <v>276</v>
      </c>
      <c r="C14" s="532">
        <f>SUM(C6:C13)</f>
        <v>4367.8500000000004</v>
      </c>
      <c r="D14" s="533">
        <f>SUM(D6:D13)</f>
        <v>4367.8500000000004</v>
      </c>
      <c r="E14" s="534">
        <f>SUM(E6:E13)</f>
        <v>3946</v>
      </c>
      <c r="F14" s="535">
        <f>SUM(F6:F13)</f>
        <v>0</v>
      </c>
      <c r="G14" s="534">
        <f t="shared" si="0"/>
        <v>-3946</v>
      </c>
      <c r="H14" s="568">
        <f t="shared" si="1"/>
        <v>-1</v>
      </c>
      <c r="I14" s="252"/>
      <c r="J14" s="251"/>
      <c r="K14" s="454"/>
      <c r="L14" s="207"/>
      <c r="M14" s="207"/>
      <c r="N14" s="207"/>
      <c r="O14" s="207"/>
      <c r="P14" s="207"/>
      <c r="Q14" s="216"/>
    </row>
    <row r="15" spans="2:17" ht="9" customHeight="1">
      <c r="B15" s="147"/>
      <c r="C15" s="417"/>
      <c r="D15" s="329"/>
      <c r="E15" s="217"/>
      <c r="F15" s="424"/>
      <c r="G15" s="217"/>
      <c r="H15" s="569"/>
      <c r="I15" s="252"/>
      <c r="J15" s="251"/>
      <c r="K15" s="454"/>
      <c r="L15" s="207"/>
      <c r="M15" s="455"/>
      <c r="N15" s="454"/>
      <c r="O15" s="454"/>
      <c r="P15" s="207"/>
      <c r="Q15" s="216"/>
    </row>
    <row r="16" spans="2:17" s="13" customFormat="1" ht="24.4">
      <c r="B16" s="208" t="s">
        <v>277</v>
      </c>
      <c r="C16" s="418"/>
      <c r="D16" s="330"/>
      <c r="E16" s="218"/>
      <c r="F16" s="425"/>
      <c r="G16" s="217"/>
      <c r="H16" s="569"/>
      <c r="I16" s="252"/>
      <c r="J16" s="455"/>
      <c r="K16" s="454"/>
      <c r="L16" s="207"/>
      <c r="M16" s="455"/>
      <c r="N16" s="454"/>
      <c r="O16" s="454"/>
      <c r="P16" s="207"/>
      <c r="Q16" s="216"/>
    </row>
    <row r="17" spans="2:17">
      <c r="B17" s="24" t="s">
        <v>203</v>
      </c>
      <c r="C17" s="415"/>
      <c r="D17" s="315"/>
      <c r="E17" s="227"/>
      <c r="F17" s="422"/>
      <c r="G17" s="227"/>
      <c r="H17" s="567"/>
      <c r="I17" s="252"/>
      <c r="J17" s="455"/>
      <c r="K17" s="454"/>
      <c r="L17" s="207"/>
      <c r="M17" s="455"/>
      <c r="N17" s="454"/>
      <c r="O17" s="454"/>
      <c r="P17" s="207"/>
      <c r="Q17" s="216"/>
    </row>
    <row r="18" spans="2:17" ht="30" customHeight="1">
      <c r="B18" s="609" t="s">
        <v>237</v>
      </c>
      <c r="C18" s="600">
        <f>'[14]REV&amp;EXP'!$H$69</f>
        <v>49537.65</v>
      </c>
      <c r="D18" s="591">
        <f>'[14]REV&amp;EXP'!$H$69</f>
        <v>49537.65</v>
      </c>
      <c r="E18" s="592">
        <f>'[15]Student Service Center'!$F$18</f>
        <v>46144.800000000003</v>
      </c>
      <c r="F18" s="593">
        <v>0</v>
      </c>
      <c r="G18" s="592">
        <f>F18-E18</f>
        <v>-46144.800000000003</v>
      </c>
      <c r="H18" s="646">
        <f>G18/E18</f>
        <v>-1</v>
      </c>
      <c r="I18" s="1461" t="s">
        <v>268</v>
      </c>
      <c r="J18" s="1462"/>
      <c r="K18" s="1462"/>
      <c r="L18" s="1462"/>
      <c r="M18" s="1462"/>
      <c r="N18" s="1462"/>
      <c r="O18" s="1462"/>
      <c r="P18" s="1462"/>
      <c r="Q18" s="1463"/>
    </row>
    <row r="19" spans="2:17" ht="31.5" customHeight="1">
      <c r="B19" s="653" t="s">
        <v>278</v>
      </c>
      <c r="C19" s="596">
        <f>'[14]REV&amp;EXP'!$H$70</f>
        <v>22174.99</v>
      </c>
      <c r="D19" s="597">
        <f>'[14]REV&amp;EXP'!$H$70</f>
        <v>22174.99</v>
      </c>
      <c r="E19" s="598">
        <f>'[15]Student Service Center'!$F$19</f>
        <v>25123.215960000001</v>
      </c>
      <c r="F19" s="599">
        <v>0</v>
      </c>
      <c r="G19" s="598">
        <f>F19-E19</f>
        <v>-25123.215960000001</v>
      </c>
      <c r="H19" s="608">
        <f>G19/E19</f>
        <v>-1</v>
      </c>
      <c r="I19" s="1455" t="s">
        <v>268</v>
      </c>
      <c r="J19" s="1456"/>
      <c r="K19" s="1456"/>
      <c r="L19" s="1456"/>
      <c r="M19" s="1456"/>
      <c r="N19" s="1456"/>
      <c r="O19" s="1456"/>
      <c r="P19" s="1456"/>
      <c r="Q19" s="1457"/>
    </row>
    <row r="20" spans="2:17" ht="32.25" customHeight="1">
      <c r="B20" s="647" t="s">
        <v>206</v>
      </c>
      <c r="C20" s="648">
        <f>'[14]REV&amp;EXP'!$H$71</f>
        <v>32302.14</v>
      </c>
      <c r="D20" s="649">
        <f>'[14]REV&amp;EXP'!$H$71</f>
        <v>32302.14</v>
      </c>
      <c r="E20" s="650">
        <f>'[15]Student Service Center'!$F$20</f>
        <v>32750</v>
      </c>
      <c r="F20" s="651">
        <v>0</v>
      </c>
      <c r="G20" s="650">
        <f>F20-E20</f>
        <v>-32750</v>
      </c>
      <c r="H20" s="652">
        <f>G20/E20</f>
        <v>-1</v>
      </c>
      <c r="I20" s="1461" t="s">
        <v>268</v>
      </c>
      <c r="J20" s="1462"/>
      <c r="K20" s="1462"/>
      <c r="L20" s="1462"/>
      <c r="M20" s="1462"/>
      <c r="N20" s="1462"/>
      <c r="O20" s="1462"/>
      <c r="P20" s="1462"/>
      <c r="Q20" s="1463"/>
    </row>
    <row r="21" spans="2:17" s="15" customFormat="1">
      <c r="B21" s="536" t="s">
        <v>208</v>
      </c>
      <c r="C21" s="537">
        <f>SUM(C18:C20)</f>
        <v>104014.78</v>
      </c>
      <c r="D21" s="538">
        <f>SUM(D18:D20)</f>
        <v>104014.78</v>
      </c>
      <c r="E21" s="539">
        <f>SUM(E18:E20)</f>
        <v>104018.01596</v>
      </c>
      <c r="F21" s="540">
        <f>SUM(F18:F20)</f>
        <v>0</v>
      </c>
      <c r="G21" s="539">
        <f>F21-E21</f>
        <v>-104018.01596</v>
      </c>
      <c r="H21" s="570">
        <f>G21/E21</f>
        <v>-1</v>
      </c>
      <c r="I21" s="576"/>
      <c r="J21" s="456"/>
      <c r="K21" s="457"/>
      <c r="L21" s="412"/>
      <c r="M21" s="412"/>
      <c r="N21" s="412"/>
      <c r="O21" s="412"/>
      <c r="P21" s="412"/>
      <c r="Q21" s="413"/>
    </row>
    <row r="22" spans="2:17" s="201" customFormat="1">
      <c r="B22" s="202"/>
      <c r="C22" s="231"/>
      <c r="D22" s="331"/>
      <c r="E22" s="231"/>
      <c r="F22" s="427"/>
      <c r="G22" s="231"/>
      <c r="H22" s="571"/>
      <c r="I22" s="577"/>
      <c r="J22" s="458"/>
      <c r="K22" s="459"/>
      <c r="L22" s="459"/>
      <c r="M22" s="459"/>
      <c r="N22" s="459"/>
      <c r="O22" s="459"/>
      <c r="P22" s="459"/>
      <c r="Q22" s="633"/>
    </row>
    <row r="23" spans="2:17">
      <c r="B23" s="178" t="s">
        <v>209</v>
      </c>
      <c r="C23" s="372"/>
      <c r="D23" s="316"/>
      <c r="E23" s="226"/>
      <c r="F23" s="421"/>
      <c r="G23" s="226"/>
      <c r="H23" s="565"/>
      <c r="I23" s="576"/>
      <c r="J23" s="412"/>
      <c r="K23" s="412"/>
      <c r="L23" s="457"/>
      <c r="M23" s="412"/>
      <c r="N23" s="412"/>
      <c r="O23" s="412"/>
      <c r="P23" s="412"/>
      <c r="Q23" s="413"/>
    </row>
    <row r="24" spans="2:17" ht="29.25" customHeight="1">
      <c r="B24" s="590" t="s">
        <v>279</v>
      </c>
      <c r="C24" s="600">
        <f>'[14]REV&amp;EXP'!$H$66</f>
        <v>12841.37</v>
      </c>
      <c r="D24" s="591">
        <f>'[14]REV&amp;EXP'!$H$66</f>
        <v>12841.37</v>
      </c>
      <c r="E24" s="592">
        <f>'[15]Student Service Center'!$F$24</f>
        <v>11600</v>
      </c>
      <c r="F24" s="593">
        <v>0</v>
      </c>
      <c r="G24" s="592">
        <f t="shared" ref="G24:G29" si="2">F24-E24</f>
        <v>-11600</v>
      </c>
      <c r="H24" s="607">
        <f t="shared" ref="H24:H29" si="3">G24/E24</f>
        <v>-1</v>
      </c>
      <c r="I24" s="1461" t="s">
        <v>268</v>
      </c>
      <c r="J24" s="1462"/>
      <c r="K24" s="1462"/>
      <c r="L24" s="1462"/>
      <c r="M24" s="1462"/>
      <c r="N24" s="1462"/>
      <c r="O24" s="1462"/>
      <c r="P24" s="1462"/>
      <c r="Q24" s="1463"/>
    </row>
    <row r="25" spans="2:17" ht="33.75" customHeight="1">
      <c r="B25" s="595" t="s">
        <v>214</v>
      </c>
      <c r="C25" s="596">
        <f>'[14]REV&amp;EXP'!$H$67</f>
        <v>6503.54</v>
      </c>
      <c r="D25" s="597">
        <f>'[14]REV&amp;EXP'!$H$67</f>
        <v>6503.54</v>
      </c>
      <c r="E25" s="598">
        <f>'[15]Student Service Center'!$F$25</f>
        <v>11278.890000000001</v>
      </c>
      <c r="F25" s="599">
        <v>0</v>
      </c>
      <c r="G25" s="598">
        <f>F25-E25</f>
        <v>-11278.890000000001</v>
      </c>
      <c r="H25" s="608">
        <f t="shared" si="3"/>
        <v>-1</v>
      </c>
      <c r="I25" s="1455" t="s">
        <v>268</v>
      </c>
      <c r="J25" s="1456"/>
      <c r="K25" s="1456"/>
      <c r="L25" s="1456"/>
      <c r="M25" s="1456"/>
      <c r="N25" s="1456"/>
      <c r="O25" s="1456"/>
      <c r="P25" s="1456"/>
      <c r="Q25" s="1457"/>
    </row>
    <row r="26" spans="2:17" ht="31.5" customHeight="1">
      <c r="B26" s="590" t="s">
        <v>241</v>
      </c>
      <c r="C26" s="600">
        <f>'[14]REV&amp;EXP'!$H$68</f>
        <v>7423.07</v>
      </c>
      <c r="D26" s="591">
        <f>'[14]REV&amp;EXP'!$H$68</f>
        <v>7423.07</v>
      </c>
      <c r="E26" s="592">
        <f>'[15]Student Service Center'!$F$26</f>
        <v>9538</v>
      </c>
      <c r="F26" s="593">
        <v>0</v>
      </c>
      <c r="G26" s="592">
        <f t="shared" si="2"/>
        <v>-9538</v>
      </c>
      <c r="H26" s="607">
        <f t="shared" si="3"/>
        <v>-1</v>
      </c>
      <c r="I26" s="1461" t="s">
        <v>268</v>
      </c>
      <c r="J26" s="1462"/>
      <c r="K26" s="1462"/>
      <c r="L26" s="1462"/>
      <c r="M26" s="1462"/>
      <c r="N26" s="1462"/>
      <c r="O26" s="1462"/>
      <c r="P26" s="1462"/>
      <c r="Q26" s="1463"/>
    </row>
    <row r="27" spans="2:17" ht="29.25" customHeight="1">
      <c r="B27" s="601" t="s">
        <v>280</v>
      </c>
      <c r="C27" s="602">
        <f>'[14]REV&amp;EXP'!$H$72</f>
        <v>0</v>
      </c>
      <c r="D27" s="614">
        <f>'[14]REV&amp;EXP'!$H$72</f>
        <v>0</v>
      </c>
      <c r="E27" s="604">
        <f>'[15]Student Service Center'!$F$27</f>
        <v>0</v>
      </c>
      <c r="F27" s="605">
        <v>0</v>
      </c>
      <c r="G27" s="604">
        <f t="shared" si="2"/>
        <v>0</v>
      </c>
      <c r="H27" s="608" t="e">
        <f t="shared" si="3"/>
        <v>#DIV/0!</v>
      </c>
      <c r="I27" s="1455" t="s">
        <v>268</v>
      </c>
      <c r="J27" s="1456"/>
      <c r="K27" s="1456"/>
      <c r="L27" s="1456"/>
      <c r="M27" s="1456"/>
      <c r="N27" s="1456"/>
      <c r="O27" s="1456"/>
      <c r="P27" s="1456"/>
      <c r="Q27" s="1457"/>
    </row>
    <row r="28" spans="2:17" s="152" customFormat="1" ht="16.5" customHeight="1">
      <c r="B28" s="747" t="str">
        <f>'[14]REV&amp;EXP'!$A$73</f>
        <v>Gift &amp; Contributions</v>
      </c>
      <c r="C28" s="496">
        <f>'[14]REV&amp;EXP'!$H$73</f>
        <v>30</v>
      </c>
      <c r="D28" s="492">
        <f>'[14]REV&amp;EXP'!$H$73</f>
        <v>30</v>
      </c>
      <c r="E28" s="493">
        <f>'[15]Student Service Center'!$F$28</f>
        <v>0</v>
      </c>
      <c r="F28" s="494">
        <v>0</v>
      </c>
      <c r="G28" s="493">
        <f t="shared" si="2"/>
        <v>0</v>
      </c>
      <c r="H28" s="566" t="e">
        <f t="shared" si="3"/>
        <v>#DIV/0!</v>
      </c>
      <c r="I28" s="1458"/>
      <c r="J28" s="1459"/>
      <c r="K28" s="1459"/>
      <c r="L28" s="1459"/>
      <c r="M28" s="1459"/>
      <c r="N28" s="1459"/>
      <c r="O28" s="1459"/>
      <c r="P28" s="1459"/>
      <c r="Q28" s="1460"/>
    </row>
    <row r="29" spans="2:17" s="15" customFormat="1">
      <c r="B29" s="531" t="s">
        <v>217</v>
      </c>
      <c r="C29" s="532">
        <f>SUM(C24:C28)</f>
        <v>26797.98</v>
      </c>
      <c r="D29" s="533">
        <f>SUM(D24:D28)</f>
        <v>26797.98</v>
      </c>
      <c r="E29" s="534">
        <f>SUM(E24:E28)</f>
        <v>32416.89</v>
      </c>
      <c r="F29" s="535">
        <f>SUM(F24:F28)</f>
        <v>0</v>
      </c>
      <c r="G29" s="534">
        <f t="shared" si="2"/>
        <v>-32416.89</v>
      </c>
      <c r="H29" s="568">
        <f t="shared" si="3"/>
        <v>-1</v>
      </c>
      <c r="I29" s="618"/>
      <c r="J29" s="619"/>
      <c r="K29" s="619"/>
      <c r="L29" s="619"/>
      <c r="M29" s="182"/>
      <c r="N29" s="182"/>
      <c r="O29" s="182"/>
      <c r="P29" s="182"/>
      <c r="Q29" s="206"/>
    </row>
    <row r="30" spans="2:17">
      <c r="B30" s="513"/>
      <c r="C30" s="420"/>
      <c r="D30" s="315"/>
      <c r="E30" s="227"/>
      <c r="F30" s="422"/>
      <c r="G30" s="227"/>
      <c r="H30" s="567"/>
      <c r="I30" s="620"/>
      <c r="J30" s="619"/>
      <c r="K30" s="619"/>
      <c r="L30" s="619"/>
      <c r="M30" s="182"/>
      <c r="N30" s="182"/>
      <c r="O30" s="182"/>
      <c r="P30" s="182"/>
      <c r="Q30" s="206"/>
    </row>
    <row r="31" spans="2:17" s="15" customFormat="1">
      <c r="B31" s="531" t="s">
        <v>281</v>
      </c>
      <c r="C31" s="532">
        <f>C29+C21</f>
        <v>130812.76</v>
      </c>
      <c r="D31" s="533">
        <f>+D29+D21</f>
        <v>130812.76</v>
      </c>
      <c r="E31" s="534">
        <f>+E29+E21</f>
        <v>136434.90596</v>
      </c>
      <c r="F31" s="535">
        <f>+F29+F21</f>
        <v>0</v>
      </c>
      <c r="G31" s="534">
        <f>F31-E31</f>
        <v>-136434.90596</v>
      </c>
      <c r="H31" s="568">
        <f>G31/E31</f>
        <v>-1</v>
      </c>
      <c r="I31" s="621"/>
      <c r="J31" s="622"/>
      <c r="K31" s="622"/>
      <c r="L31" s="622"/>
      <c r="M31" s="623"/>
      <c r="N31" s="623"/>
      <c r="O31" s="623"/>
      <c r="P31" s="623"/>
      <c r="Q31" s="624"/>
    </row>
    <row r="32" spans="2:17">
      <c r="B32" s="514"/>
      <c r="C32" s="221"/>
      <c r="D32" s="329"/>
      <c r="E32" s="217"/>
      <c r="F32" s="424"/>
      <c r="G32" s="217"/>
      <c r="H32" s="569"/>
      <c r="I32" s="134"/>
      <c r="J32" s="622"/>
      <c r="K32" s="622"/>
      <c r="L32" s="622"/>
      <c r="M32" s="623"/>
      <c r="N32" s="623"/>
      <c r="O32" s="623"/>
      <c r="P32" s="623"/>
      <c r="Q32" s="624"/>
    </row>
    <row r="33" spans="2:17" s="169" customFormat="1" ht="21" thickBot="1">
      <c r="B33" s="541" t="s">
        <v>282</v>
      </c>
      <c r="C33" s="542">
        <f>C31-C14</f>
        <v>126444.90999999999</v>
      </c>
      <c r="D33" s="543">
        <f>D31-D14</f>
        <v>126444.90999999999</v>
      </c>
      <c r="E33" s="523">
        <f>+E31-E14</f>
        <v>132488.90596</v>
      </c>
      <c r="F33" s="544">
        <f>+F31-F14</f>
        <v>0</v>
      </c>
      <c r="G33" s="523">
        <f>+F33-E33</f>
        <v>-132488.90596</v>
      </c>
      <c r="H33" s="572">
        <f>G33/E33</f>
        <v>-1</v>
      </c>
      <c r="I33" s="625"/>
      <c r="J33" s="622"/>
      <c r="K33" s="622"/>
      <c r="L33" s="622"/>
      <c r="M33" s="626"/>
      <c r="N33" s="626"/>
      <c r="O33" s="627"/>
      <c r="P33" s="626"/>
      <c r="Q33" s="628"/>
    </row>
    <row r="34" spans="2:17" ht="18" thickBot="1">
      <c r="B34" s="515" t="s">
        <v>266</v>
      </c>
      <c r="C34" s="327"/>
      <c r="D34" s="332"/>
      <c r="E34" s="161"/>
      <c r="F34" s="161"/>
      <c r="G34" s="162" t="s">
        <v>283</v>
      </c>
      <c r="H34" s="573"/>
      <c r="I34" s="629"/>
      <c r="J34" s="630"/>
      <c r="K34" s="630"/>
      <c r="L34" s="630"/>
      <c r="M34" s="631"/>
      <c r="N34" s="631"/>
      <c r="O34" s="632"/>
      <c r="P34" s="631"/>
      <c r="Q34" s="634"/>
    </row>
    <row r="35" spans="2:17" ht="6" customHeight="1">
      <c r="B35" s="18"/>
      <c r="C35" s="4"/>
      <c r="D35" s="170"/>
      <c r="E35" s="5"/>
      <c r="F35" s="5"/>
      <c r="G35" s="5"/>
      <c r="H35" s="158"/>
      <c r="I35" s="88"/>
      <c r="J35"/>
      <c r="K35"/>
      <c r="L35"/>
      <c r="O35" s="171"/>
    </row>
    <row r="36" spans="2:17">
      <c r="B36" s="1113" t="s">
        <v>284</v>
      </c>
      <c r="C36" s="286">
        <f>'[14]REV&amp;EXP'!$H$65</f>
        <v>271.04000000000002</v>
      </c>
      <c r="D36" s="221">
        <f>'[14]REV&amp;EXP'!$H$65</f>
        <v>271.04000000000002</v>
      </c>
      <c r="E36" s="283"/>
      <c r="F36" s="460" t="s">
        <v>285</v>
      </c>
      <c r="G36" s="30"/>
      <c r="H36" s="158"/>
      <c r="I36" s="88"/>
      <c r="J36"/>
      <c r="K36"/>
      <c r="L36"/>
      <c r="O36" s="171"/>
    </row>
    <row r="37" spans="2:17">
      <c r="B37" s="164"/>
      <c r="C37" s="165"/>
      <c r="D37" s="224"/>
      <c r="E37" s="5"/>
      <c r="F37" s="5"/>
      <c r="G37" s="5"/>
      <c r="H37" s="158"/>
      <c r="I37" s="88"/>
      <c r="J37" s="160"/>
      <c r="K37" s="157"/>
      <c r="L37" s="4"/>
      <c r="O37" s="171"/>
    </row>
    <row r="38" spans="2:17">
      <c r="B38" s="18"/>
      <c r="C38" s="4"/>
      <c r="D38" s="224"/>
      <c r="E38" s="5"/>
      <c r="F38" s="5"/>
      <c r="G38" s="5"/>
      <c r="H38" s="158"/>
      <c r="I38" s="88"/>
      <c r="J38" s="160"/>
      <c r="K38" s="157"/>
      <c r="L38" s="18"/>
      <c r="O38" s="171"/>
    </row>
    <row r="39" spans="2:17">
      <c r="B39" s="164"/>
      <c r="C39" s="165"/>
      <c r="D39" s="224"/>
      <c r="E39" s="5"/>
      <c r="F39" s="5"/>
      <c r="G39" s="5"/>
      <c r="H39" s="158"/>
      <c r="I39" s="88"/>
      <c r="J39" s="160"/>
      <c r="K39" s="157"/>
      <c r="L39" s="4"/>
    </row>
    <row r="40" spans="2:17">
      <c r="B40" s="166"/>
      <c r="C40" s="167"/>
      <c r="D40" s="170"/>
      <c r="E40" s="5"/>
      <c r="F40" s="5"/>
      <c r="G40" s="5"/>
      <c r="H40" s="158"/>
      <c r="I40" s="88"/>
      <c r="J40" s="160"/>
      <c r="K40" s="157"/>
      <c r="L40" s="4"/>
    </row>
    <row r="41" spans="2:17">
      <c r="B41" s="166"/>
      <c r="C41" s="167"/>
      <c r="D41" s="170"/>
      <c r="E41" s="5"/>
      <c r="F41" s="5"/>
      <c r="G41" s="1398"/>
      <c r="H41" s="158"/>
      <c r="I41" s="88"/>
      <c r="J41" s="160"/>
      <c r="K41" s="157"/>
      <c r="L41" s="4"/>
    </row>
    <row r="42" spans="2:17">
      <c r="B42" s="166"/>
      <c r="C42" s="167"/>
      <c r="D42" s="170"/>
      <c r="E42" s="5"/>
      <c r="F42" s="5"/>
      <c r="G42" s="5"/>
      <c r="H42" s="158"/>
      <c r="I42" s="88"/>
      <c r="J42" s="160"/>
      <c r="K42" s="157"/>
      <c r="L42" s="4"/>
    </row>
    <row r="43" spans="2:17">
      <c r="B43" s="33"/>
      <c r="C43" s="34"/>
      <c r="J43" s="160"/>
      <c r="K43" s="157"/>
      <c r="L43" s="4"/>
    </row>
    <row r="44" spans="2:17">
      <c r="B44" s="33"/>
      <c r="C44" s="34"/>
      <c r="J44" s="160"/>
      <c r="K44" s="157"/>
      <c r="L44" s="4"/>
    </row>
    <row r="45" spans="2:17">
      <c r="B45" s="33"/>
      <c r="C45" s="34"/>
      <c r="G45" s="5"/>
      <c r="J45" s="160"/>
      <c r="K45" s="157"/>
      <c r="L45" s="4"/>
    </row>
    <row r="46" spans="2:17">
      <c r="B46" s="153"/>
      <c r="C46" s="154"/>
      <c r="E46" s="1399"/>
      <c r="G46" s="5"/>
      <c r="J46" s="160"/>
      <c r="K46" s="157"/>
      <c r="L46" s="4"/>
    </row>
    <row r="47" spans="2:17">
      <c r="B47" s="33"/>
      <c r="C47" s="34"/>
      <c r="J47" s="160"/>
      <c r="K47" s="173"/>
      <c r="L47" s="4"/>
    </row>
    <row r="48" spans="2:17">
      <c r="B48" s="174"/>
      <c r="C48" s="175"/>
      <c r="J48" s="14"/>
      <c r="K48" s="88"/>
      <c r="L48" s="4"/>
    </row>
    <row r="49" spans="2:15">
      <c r="J49" s="160"/>
      <c r="K49" s="157"/>
      <c r="L49" s="18"/>
    </row>
    <row r="50" spans="2:15">
      <c r="B50" s="166"/>
      <c r="C50" s="167"/>
      <c r="D50" s="170"/>
      <c r="E50" s="5"/>
      <c r="F50" s="5"/>
      <c r="G50" s="5"/>
      <c r="H50" s="5"/>
      <c r="J50" s="18"/>
      <c r="K50" s="18"/>
      <c r="L50" s="160"/>
      <c r="M50" s="157"/>
      <c r="N50" s="18"/>
    </row>
    <row r="51" spans="2:15">
      <c r="B51" s="18"/>
      <c r="C51" s="4"/>
      <c r="D51" s="159"/>
      <c r="E51" s="5"/>
      <c r="F51" s="5"/>
      <c r="G51" s="176"/>
      <c r="H51" s="5"/>
      <c r="J51" s="18"/>
      <c r="K51" s="18"/>
      <c r="L51" s="160"/>
      <c r="M51" s="157"/>
      <c r="N51" s="18"/>
      <c r="O51" s="4"/>
    </row>
    <row r="52" spans="2:15">
      <c r="B52" s="18"/>
      <c r="C52" s="4"/>
      <c r="D52" s="159"/>
      <c r="E52" s="176"/>
      <c r="F52" s="5"/>
      <c r="G52" s="5"/>
      <c r="H52" s="5"/>
      <c r="J52" s="18"/>
      <c r="K52" s="18"/>
      <c r="L52" s="160"/>
      <c r="M52" s="157"/>
      <c r="N52" s="18"/>
    </row>
    <row r="53" spans="2:15">
      <c r="B53" s="156"/>
      <c r="C53" s="177"/>
      <c r="D53" s="159"/>
      <c r="E53" s="5"/>
      <c r="F53" s="5"/>
      <c r="G53" s="5"/>
      <c r="H53" s="5"/>
      <c r="J53" s="18"/>
      <c r="K53" s="18"/>
      <c r="L53" s="14"/>
      <c r="M53" s="88"/>
      <c r="N53" s="18"/>
    </row>
    <row r="54" spans="2:15">
      <c r="B54" s="18"/>
      <c r="C54" s="4"/>
      <c r="D54" s="159"/>
      <c r="E54" s="163"/>
      <c r="F54" s="5"/>
      <c r="G54" s="5"/>
      <c r="H54" s="5"/>
      <c r="J54" s="18"/>
      <c r="K54" s="18"/>
      <c r="L54" s="160"/>
      <c r="M54" s="157"/>
      <c r="N54" s="18"/>
    </row>
    <row r="55" spans="2:15">
      <c r="B55" s="18"/>
      <c r="C55" s="4"/>
      <c r="D55" s="170"/>
      <c r="E55" s="5"/>
      <c r="F55" s="5"/>
      <c r="G55" s="5"/>
      <c r="H55" s="5"/>
      <c r="J55" s="18"/>
      <c r="K55" s="18"/>
      <c r="L55" s="160"/>
      <c r="M55" s="157"/>
      <c r="N55" s="18"/>
    </row>
    <row r="56" spans="2:15">
      <c r="B56" s="18"/>
      <c r="C56" s="4"/>
      <c r="D56" s="170"/>
      <c r="E56" s="5"/>
      <c r="F56" s="5"/>
      <c r="G56" s="5"/>
      <c r="H56" s="5"/>
      <c r="J56" s="18"/>
      <c r="K56" s="18"/>
      <c r="L56" s="160"/>
      <c r="M56" s="157"/>
      <c r="N56" s="18"/>
    </row>
    <row r="57" spans="2:15">
      <c r="J57" s="160"/>
      <c r="K57" s="157"/>
      <c r="L57" s="18"/>
    </row>
    <row r="58" spans="2:15">
      <c r="B58" s="33"/>
      <c r="C58" s="34"/>
      <c r="J58" s="14"/>
      <c r="K58" s="88"/>
      <c r="L58" s="4"/>
    </row>
    <row r="59" spans="2:15">
      <c r="B59" s="153"/>
      <c r="C59" s="154"/>
      <c r="J59" s="160"/>
      <c r="K59" s="157"/>
      <c r="L59" s="18"/>
    </row>
    <row r="60" spans="2:15">
      <c r="B60" s="153"/>
      <c r="C60" s="154"/>
      <c r="J60" s="160"/>
      <c r="K60" s="157"/>
      <c r="L60" s="18"/>
    </row>
    <row r="61" spans="2:15">
      <c r="B61" s="153"/>
      <c r="C61" s="154"/>
      <c r="J61" s="160"/>
      <c r="K61" s="157"/>
      <c r="L61" s="18"/>
    </row>
    <row r="62" spans="2:15">
      <c r="J62" s="160"/>
      <c r="K62" s="157"/>
      <c r="L62" s="18"/>
    </row>
    <row r="63" spans="2:15">
      <c r="J63" s="14"/>
      <c r="K63" s="88"/>
      <c r="L63" s="4"/>
    </row>
    <row r="64" spans="2:15">
      <c r="J64" s="160"/>
      <c r="K64" s="157"/>
      <c r="L64" s="18"/>
    </row>
    <row r="65" spans="10:12">
      <c r="J65" s="160"/>
      <c r="K65" s="157"/>
      <c r="L65" s="18"/>
    </row>
    <row r="66" spans="10:12">
      <c r="J66" s="160"/>
      <c r="K66" s="157"/>
      <c r="L66" s="18"/>
    </row>
    <row r="67" spans="10:12">
      <c r="J67" s="160"/>
      <c r="K67" s="157"/>
      <c r="L67" s="18"/>
    </row>
    <row r="68" spans="10:12">
      <c r="J68" s="14"/>
      <c r="K68" s="88"/>
      <c r="L68" s="4"/>
    </row>
    <row r="69" spans="10:12">
      <c r="J69" s="160"/>
      <c r="K69" s="157"/>
      <c r="L69" s="18"/>
    </row>
    <row r="70" spans="10:12">
      <c r="J70" s="160"/>
      <c r="K70" s="157"/>
      <c r="L70" s="18"/>
    </row>
    <row r="71" spans="10:12">
      <c r="J71" s="160"/>
      <c r="K71" s="157"/>
      <c r="L71" s="18"/>
    </row>
    <row r="72" spans="10:12">
      <c r="J72" s="160"/>
      <c r="K72" s="157"/>
      <c r="L72" s="18"/>
    </row>
    <row r="73" spans="10:12">
      <c r="J73" s="14"/>
      <c r="K73" s="88"/>
      <c r="L73" s="4"/>
    </row>
    <row r="74" spans="10:12">
      <c r="J74" s="160"/>
      <c r="K74" s="157"/>
      <c r="L74" s="18"/>
    </row>
    <row r="75" spans="10:12">
      <c r="J75" s="160"/>
      <c r="K75" s="157"/>
      <c r="L75" s="18"/>
    </row>
    <row r="76" spans="10:12">
      <c r="J76" s="160"/>
      <c r="K76" s="157"/>
      <c r="L76" s="18"/>
    </row>
    <row r="77" spans="10:12">
      <c r="J77" s="160"/>
      <c r="K77" s="157"/>
      <c r="L77" s="18"/>
    </row>
    <row r="78" spans="10:12">
      <c r="J78" s="14"/>
      <c r="K78" s="18"/>
      <c r="L78" s="4"/>
    </row>
  </sheetData>
  <mergeCells count="16">
    <mergeCell ref="I27:Q27"/>
    <mergeCell ref="I28:Q28"/>
    <mergeCell ref="I19:Q19"/>
    <mergeCell ref="I24:Q24"/>
    <mergeCell ref="I6:Q6"/>
    <mergeCell ref="I8:Q8"/>
    <mergeCell ref="I10:Q10"/>
    <mergeCell ref="I9:Q9"/>
    <mergeCell ref="I11:Q11"/>
    <mergeCell ref="I18:Q18"/>
    <mergeCell ref="I25:Q25"/>
    <mergeCell ref="I26:Q26"/>
    <mergeCell ref="I7:Q7"/>
    <mergeCell ref="I20:Q20"/>
    <mergeCell ref="I13:Q13"/>
    <mergeCell ref="I12:Q12"/>
  </mergeCells>
  <phoneticPr fontId="57" type="noConversion"/>
  <pageMargins left="0.3" right="0.25" top="0.25" bottom="0.25" header="0.5" footer="0.5"/>
  <pageSetup paperSize="5" scale="7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39997558519241921"/>
    <pageSetUpPr fitToPage="1"/>
  </sheetPr>
  <dimension ref="B1:BG71"/>
  <sheetViews>
    <sheetView zoomScale="120" zoomScaleNormal="120" workbookViewId="0">
      <pane xSplit="8655" ySplit="2055" topLeftCell="C1" activePane="topRight"/>
      <selection pane="topRight" activeCell="I1" sqref="I1:L1048576"/>
      <selection pane="bottomLeft" activeCell="A3" sqref="A3:XFD3"/>
      <selection pane="bottomRight" activeCell="F33" sqref="F33"/>
    </sheetView>
  </sheetViews>
  <sheetFormatPr defaultColWidth="10.86328125" defaultRowHeight="15"/>
  <cols>
    <col min="1" max="1" width="4.1328125" style="2" customWidth="1"/>
    <col min="2" max="2" width="60.3984375" style="2" customWidth="1"/>
    <col min="3" max="3" width="16" style="31" customWidth="1"/>
    <col min="4" max="4" width="16.59765625" style="2" hidden="1" customWidth="1"/>
    <col min="5" max="5" width="26.59765625" style="32" customWidth="1"/>
    <col min="6" max="6" width="24" style="32" customWidth="1"/>
    <col min="7" max="7" width="15.86328125" style="29" customWidth="1"/>
    <col min="8" max="8" width="14" style="740" customWidth="1"/>
    <col min="9" max="9" width="9.265625" style="798" hidden="1" customWidth="1"/>
    <col min="10" max="10" width="26.86328125" style="798" hidden="1" customWidth="1"/>
    <col min="11" max="12" width="0" style="2" hidden="1" customWidth="1"/>
    <col min="13" max="16384" width="10.86328125" style="2"/>
  </cols>
  <sheetData>
    <row r="1" spans="2:59" s="1" customFormat="1" ht="21" customHeight="1" thickBot="1">
      <c r="B1" s="715" t="str">
        <f>'4Yr Projection'!B23</f>
        <v>Student &amp; University Support</v>
      </c>
      <c r="C1" s="310"/>
      <c r="D1" s="303"/>
      <c r="E1" s="714"/>
      <c r="F1" s="1400" t="str">
        <f>'Student Government'!F1</f>
        <v>2018-19</v>
      </c>
      <c r="G1" s="319"/>
      <c r="H1" s="731"/>
    </row>
    <row r="2" spans="2:59" ht="27" customHeight="1">
      <c r="B2" s="290" t="s">
        <v>10</v>
      </c>
      <c r="C2" s="311" t="str">
        <f>'Student Service Center'!C2</f>
        <v>2016-17</v>
      </c>
      <c r="D2" s="304" t="str">
        <f>'Student Service Center'!D2</f>
        <v>YTD 2017-18</v>
      </c>
      <c r="E2" s="293" t="str">
        <f>'Student Government'!E2</f>
        <v>2017-18</v>
      </c>
      <c r="F2" s="1347" t="str">
        <f>'Student Service Center'!F2</f>
        <v>Proposed Operating Budget</v>
      </c>
      <c r="G2" s="341" t="s">
        <v>63</v>
      </c>
      <c r="H2" s="1401" t="s">
        <v>64</v>
      </c>
      <c r="I2" s="2"/>
      <c r="J2" s="1466" t="s">
        <v>197</v>
      </c>
      <c r="K2" s="1467"/>
      <c r="L2" s="1350"/>
      <c r="M2" s="1350"/>
    </row>
    <row r="3" spans="2:59" ht="16.5" customHeight="1" thickBot="1">
      <c r="B3" s="302"/>
      <c r="C3" s="312" t="str">
        <f>'Student Service Center'!C3</f>
        <v>Actual</v>
      </c>
      <c r="D3" s="305">
        <f>'Student Service Center'!D3</f>
        <v>43008</v>
      </c>
      <c r="E3" s="1402" t="str">
        <f>'Student Government'!E3</f>
        <v>Approved Operating Budget</v>
      </c>
      <c r="F3" s="1346" t="s">
        <v>286</v>
      </c>
      <c r="G3" s="342" t="s">
        <v>65</v>
      </c>
      <c r="H3" s="1403" t="s">
        <v>66</v>
      </c>
      <c r="I3" s="2"/>
      <c r="J3" s="1468"/>
      <c r="K3" s="1469"/>
    </row>
    <row r="4" spans="2:59" ht="4.5" customHeight="1" thickBot="1">
      <c r="B4" s="716"/>
      <c r="C4" s="1394"/>
      <c r="D4" s="1404"/>
      <c r="E4" s="1405"/>
      <c r="F4" s="1405"/>
      <c r="G4" s="1395"/>
      <c r="H4" s="1406"/>
      <c r="I4" s="2"/>
      <c r="J4" s="2"/>
    </row>
    <row r="5" spans="2:59" s="13" customFormat="1" ht="21" customHeight="1">
      <c r="B5" s="717" t="s">
        <v>287</v>
      </c>
      <c r="C5" s="306"/>
      <c r="D5" s="313"/>
      <c r="E5" s="10"/>
      <c r="F5" s="11"/>
      <c r="G5" s="12"/>
      <c r="H5" s="732"/>
      <c r="I5" s="964" t="str">
        <f>'Student Government'!L5</f>
        <v>Operating Exp Inc by 2%</v>
      </c>
      <c r="J5" s="140"/>
    </row>
    <row r="6" spans="2:59" s="152" customFormat="1" ht="33.75" customHeight="1">
      <c r="B6" s="1093" t="s">
        <v>288</v>
      </c>
      <c r="C6" s="496">
        <f>'[7]REV&amp;EXP'!$G$102+'[7]REV&amp;EXP'!$G$103+'[7]REV&amp;EXP'!$G$104</f>
        <v>13032.58</v>
      </c>
      <c r="D6" s="774">
        <f>'[6]Student &amp; University Support'!$D$6</f>
        <v>964.61</v>
      </c>
      <c r="E6" s="493">
        <f>'[8]Student &amp; University Support'!$F$6</f>
        <v>8000</v>
      </c>
      <c r="F6" s="494">
        <f>(E6*2%)+E6</f>
        <v>8160</v>
      </c>
      <c r="G6" s="493">
        <f>F6-E6</f>
        <v>160</v>
      </c>
      <c r="H6" s="495">
        <f t="shared" ref="H6:H15" si="0">G6/E6</f>
        <v>0.02</v>
      </c>
      <c r="I6" s="135"/>
      <c r="J6" s="800"/>
    </row>
    <row r="7" spans="2:59" s="152" customFormat="1" ht="26.25" customHeight="1">
      <c r="B7" s="1028" t="s">
        <v>289</v>
      </c>
      <c r="C7" s="496">
        <v>0</v>
      </c>
      <c r="D7" s="774"/>
      <c r="E7" s="493">
        <f>'[8]Student &amp; University Support'!$F$7</f>
        <v>0</v>
      </c>
      <c r="F7" s="494">
        <f t="shared" ref="F7:F14" si="1">(E7*2%)+E7</f>
        <v>0</v>
      </c>
      <c r="G7" s="493"/>
      <c r="H7" s="495"/>
      <c r="I7" s="135"/>
      <c r="J7" s="800"/>
    </row>
    <row r="8" spans="2:59" ht="21.75" customHeight="1">
      <c r="B8" s="775" t="s">
        <v>267</v>
      </c>
      <c r="C8" s="776">
        <f>'[7]REV&amp;EXP'!$G$111</f>
        <v>4700</v>
      </c>
      <c r="D8" s="777">
        <f>'[6]Student &amp; University Support'!$D$7</f>
        <v>1220</v>
      </c>
      <c r="E8" s="778">
        <f>'[8]Student &amp; University Support'!$F$8</f>
        <v>4100</v>
      </c>
      <c r="F8" s="494">
        <f t="shared" si="1"/>
        <v>4182</v>
      </c>
      <c r="G8" s="778">
        <f t="shared" ref="G8:G14" si="2">F8-E8</f>
        <v>82</v>
      </c>
      <c r="H8" s="495">
        <f t="shared" si="0"/>
        <v>0.02</v>
      </c>
      <c r="I8" s="141"/>
      <c r="J8" s="802"/>
      <c r="K8" s="796"/>
      <c r="L8" s="796"/>
      <c r="M8" s="796"/>
      <c r="N8" s="796"/>
    </row>
    <row r="9" spans="2:59" ht="33.75" customHeight="1">
      <c r="B9" s="1119" t="s">
        <v>290</v>
      </c>
      <c r="C9" s="496">
        <f>'[7]REV&amp;EXP'!$G$105+'[7]REV&amp;EXP'!$G$110</f>
        <v>1643.35</v>
      </c>
      <c r="D9" s="774">
        <f>'[6]Student &amp; University Support'!$D$8</f>
        <v>0</v>
      </c>
      <c r="E9" s="493">
        <f>'[8]Student &amp; University Support'!$F$9</f>
        <v>3000</v>
      </c>
      <c r="F9" s="494">
        <f t="shared" si="1"/>
        <v>3060</v>
      </c>
      <c r="G9" s="779">
        <f t="shared" si="2"/>
        <v>60</v>
      </c>
      <c r="H9" s="495">
        <f t="shared" si="0"/>
        <v>0.02</v>
      </c>
      <c r="I9" s="141" t="str">
        <f>'Student Government'!I8</f>
        <v>2018-19</v>
      </c>
      <c r="J9" s="1349">
        <f>(F24+F30+F39)</f>
        <v>499728.6</v>
      </c>
      <c r="K9" s="796"/>
      <c r="L9" s="796"/>
      <c r="M9" s="796"/>
      <c r="N9" s="796"/>
    </row>
    <row r="10" spans="2:59" ht="28.5" customHeight="1">
      <c r="B10" s="773" t="s">
        <v>271</v>
      </c>
      <c r="C10" s="496">
        <f>'[7]REV&amp;EXP'!$G$109+'[7]REV&amp;EXP'!$G$117</f>
        <v>302.04000000000002</v>
      </c>
      <c r="D10" s="774">
        <f>'[6]Student &amp; University Support'!$D$9</f>
        <v>197</v>
      </c>
      <c r="E10" s="493">
        <f>'[8]Student &amp; University Support'!$F$10</f>
        <v>1500</v>
      </c>
      <c r="F10" s="494">
        <f t="shared" si="1"/>
        <v>1530</v>
      </c>
      <c r="G10" s="493">
        <f t="shared" si="2"/>
        <v>30</v>
      </c>
      <c r="H10" s="495">
        <f t="shared" si="0"/>
        <v>0.02</v>
      </c>
      <c r="I10" s="141" t="str">
        <f>'Student Government'!I13</f>
        <v>2019-20</v>
      </c>
      <c r="J10" s="1349">
        <f>(J9*0.02)+J9</f>
        <v>509723.17199999996</v>
      </c>
      <c r="K10" s="796"/>
      <c r="L10" s="796"/>
      <c r="M10" s="796"/>
      <c r="N10" s="796"/>
    </row>
    <row r="11" spans="2:59" ht="18" customHeight="1">
      <c r="B11" s="773" t="s">
        <v>272</v>
      </c>
      <c r="C11" s="496">
        <f>'[7]REV&amp;EXP'!$G$107</f>
        <v>91</v>
      </c>
      <c r="D11" s="774">
        <f>'[6]Student &amp; University Support'!$D$11</f>
        <v>63</v>
      </c>
      <c r="E11" s="493">
        <f>'[6]Student &amp; University Support'!$E$11</f>
        <v>250</v>
      </c>
      <c r="F11" s="494">
        <f t="shared" si="1"/>
        <v>255</v>
      </c>
      <c r="G11" s="493">
        <f t="shared" si="2"/>
        <v>5</v>
      </c>
      <c r="H11" s="495">
        <f t="shared" si="0"/>
        <v>0.02</v>
      </c>
      <c r="I11" s="141" t="str">
        <f>'Student Government'!I19</f>
        <v>2020-21</v>
      </c>
      <c r="J11" s="1349">
        <f>(J10*0.02)+J10</f>
        <v>519917.63543999998</v>
      </c>
      <c r="K11" s="796"/>
      <c r="L11" s="796"/>
      <c r="M11" s="796"/>
      <c r="N11" s="796"/>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c r="AX11" s="272"/>
      <c r="AY11" s="272"/>
      <c r="AZ11" s="272"/>
      <c r="BA11" s="272"/>
      <c r="BB11" s="272"/>
      <c r="BC11" s="272"/>
      <c r="BD11" s="272"/>
      <c r="BE11" s="272"/>
      <c r="BF11" s="272"/>
      <c r="BG11" s="272"/>
    </row>
    <row r="12" spans="2:59" ht="21.75" customHeight="1">
      <c r="B12" s="753" t="s">
        <v>273</v>
      </c>
      <c r="C12" s="370">
        <f>'[7]REV&amp;EXP'!$G$106</f>
        <v>818</v>
      </c>
      <c r="D12" s="780">
        <f>'[9]Student &amp; University Support'!$D$12</f>
        <v>0</v>
      </c>
      <c r="E12" s="226">
        <f>'[8]Student &amp; University Support'!$F$13</f>
        <v>0</v>
      </c>
      <c r="F12" s="494">
        <f t="shared" si="1"/>
        <v>0</v>
      </c>
      <c r="G12" s="226">
        <f t="shared" si="2"/>
        <v>0</v>
      </c>
      <c r="H12" s="462" t="e">
        <f t="shared" si="0"/>
        <v>#DIV/0!</v>
      </c>
      <c r="I12" s="141" t="str">
        <f>'Student Government'!L11</f>
        <v>2021-22</v>
      </c>
      <c r="J12" s="1349">
        <f>(J11*0.02)+J11</f>
        <v>530315.98814879998</v>
      </c>
      <c r="K12" s="796"/>
      <c r="L12" s="796"/>
      <c r="M12" s="796"/>
      <c r="N12" s="796"/>
    </row>
    <row r="13" spans="2:59" s="771" customFormat="1" ht="27" customHeight="1">
      <c r="B13" s="1028" t="s">
        <v>291</v>
      </c>
      <c r="C13" s="1029">
        <f>'[7]REV&amp;EXP'!$G$112+'[7]REV&amp;EXP'!$G$114</f>
        <v>483</v>
      </c>
      <c r="D13" s="1030">
        <f>'[6]Student &amp; University Support'!$D$13</f>
        <v>166</v>
      </c>
      <c r="E13" s="1031">
        <f>'[8]Student &amp; University Support'!$F$14</f>
        <v>1000</v>
      </c>
      <c r="F13" s="494">
        <f t="shared" si="1"/>
        <v>1020</v>
      </c>
      <c r="G13" s="1031">
        <f t="shared" si="2"/>
        <v>20</v>
      </c>
      <c r="H13" s="1032">
        <f t="shared" si="0"/>
        <v>0.02</v>
      </c>
      <c r="I13" s="805"/>
      <c r="J13" s="806"/>
      <c r="K13" s="1110"/>
      <c r="L13" s="1110"/>
      <c r="M13" s="1110"/>
      <c r="N13" s="1110"/>
    </row>
    <row r="14" spans="2:59" s="771" customFormat="1" ht="26.25" customHeight="1">
      <c r="B14" s="1033" t="s">
        <v>275</v>
      </c>
      <c r="C14" s="1034">
        <f>'[7]REV&amp;EXP'!$G$108</f>
        <v>12990.7</v>
      </c>
      <c r="D14" s="1035">
        <f>'[6]Student &amp; University Support'!$D$14</f>
        <v>399</v>
      </c>
      <c r="E14" s="1036">
        <f>'[8]Student &amp; University Support'!$F$15</f>
        <v>9000</v>
      </c>
      <c r="F14" s="494">
        <f t="shared" si="1"/>
        <v>9180</v>
      </c>
      <c r="G14" s="1037">
        <f t="shared" si="2"/>
        <v>180</v>
      </c>
      <c r="H14" s="1038">
        <f t="shared" si="0"/>
        <v>0.02</v>
      </c>
      <c r="I14" s="910"/>
      <c r="J14" s="806"/>
      <c r="K14" s="1110"/>
      <c r="L14" s="1110"/>
      <c r="M14" s="1110"/>
      <c r="N14" s="1110"/>
    </row>
    <row r="15" spans="2:59" s="15" customFormat="1">
      <c r="B15" s="718" t="s">
        <v>292</v>
      </c>
      <c r="C15" s="532">
        <f>SUM(C6:C14)</f>
        <v>34060.67</v>
      </c>
      <c r="D15" s="533">
        <f>SUM(D6:D14)</f>
        <v>3009.61</v>
      </c>
      <c r="E15" s="534">
        <f>SUM(E6:E14)</f>
        <v>26850</v>
      </c>
      <c r="F15" s="535">
        <f>SUM(F6:F14)</f>
        <v>27387</v>
      </c>
      <c r="G15" s="534">
        <f>SUM(G6:G14)</f>
        <v>537</v>
      </c>
      <c r="H15" s="587">
        <f t="shared" si="0"/>
        <v>0.02</v>
      </c>
      <c r="I15" s="805"/>
      <c r="J15" s="806"/>
    </row>
    <row r="16" spans="2:59" ht="9.75" customHeight="1">
      <c r="B16" s="720"/>
      <c r="C16" s="417"/>
      <c r="D16" s="440"/>
      <c r="E16" s="217"/>
      <c r="F16" s="424"/>
      <c r="G16" s="217"/>
      <c r="H16" s="733"/>
      <c r="I16" s="805"/>
      <c r="J16" s="806"/>
    </row>
    <row r="17" spans="2:22" s="13" customFormat="1" ht="24.4">
      <c r="B17" s="719" t="s">
        <v>277</v>
      </c>
      <c r="C17" s="418"/>
      <c r="D17" s="441"/>
      <c r="E17" s="217"/>
      <c r="F17" s="424"/>
      <c r="G17" s="217"/>
      <c r="H17" s="733"/>
      <c r="I17" s="805"/>
      <c r="J17" s="806"/>
      <c r="N17" s="741"/>
      <c r="O17" s="741"/>
      <c r="P17" s="741"/>
      <c r="Q17" s="741"/>
      <c r="R17" s="741"/>
      <c r="S17" s="741"/>
      <c r="T17" s="741"/>
      <c r="U17" s="741"/>
      <c r="V17" s="741"/>
    </row>
    <row r="18" spans="2:22" s="13" customFormat="1" ht="4.5" customHeight="1" thickBot="1">
      <c r="B18" s="720"/>
      <c r="C18" s="710"/>
      <c r="D18" s="711"/>
      <c r="E18" s="710"/>
      <c r="F18" s="712"/>
      <c r="G18" s="710"/>
      <c r="H18" s="734"/>
      <c r="I18" s="807"/>
      <c r="J18" s="808"/>
      <c r="N18" s="741"/>
      <c r="O18" s="741"/>
      <c r="P18" s="741"/>
      <c r="Q18" s="741"/>
      <c r="R18" s="741"/>
      <c r="S18" s="741"/>
      <c r="T18" s="741"/>
      <c r="U18" s="741"/>
      <c r="V18" s="741"/>
    </row>
    <row r="19" spans="2:22">
      <c r="B19" s="721" t="s">
        <v>293</v>
      </c>
      <c r="C19" s="415"/>
      <c r="D19" s="315"/>
      <c r="E19" s="227"/>
      <c r="F19" s="422"/>
      <c r="G19" s="227"/>
      <c r="H19" s="463"/>
      <c r="I19" s="107"/>
      <c r="J19" s="75"/>
      <c r="N19" s="18"/>
      <c r="O19" s="18"/>
      <c r="P19" s="18"/>
      <c r="Q19" s="18"/>
      <c r="R19" s="18"/>
      <c r="S19" s="18"/>
      <c r="T19" s="18"/>
      <c r="U19" s="18"/>
      <c r="V19" s="18"/>
    </row>
    <row r="20" spans="2:22" s="26" customFormat="1" ht="36" customHeight="1">
      <c r="B20" s="1093" t="s">
        <v>294</v>
      </c>
      <c r="C20" s="496">
        <f>'[7]REV&amp;EXP'!$G$132</f>
        <v>103360.23</v>
      </c>
      <c r="D20" s="492">
        <f>'[6]Student &amp; University Support'!$D$20</f>
        <v>3909</v>
      </c>
      <c r="E20" s="493">
        <f>'[8]Student &amp; University Support'!$F$21</f>
        <v>110453</v>
      </c>
      <c r="F20" s="1325">
        <f>(E20*2%)+E20</f>
        <v>112662.06</v>
      </c>
      <c r="G20" s="493">
        <f>F20-E20</f>
        <v>2209.0599999999977</v>
      </c>
      <c r="H20" s="495">
        <f>G20/E20</f>
        <v>1.999999999999998E-2</v>
      </c>
      <c r="I20" s="107"/>
      <c r="J20" s="75"/>
      <c r="N20" s="152"/>
      <c r="O20" s="152"/>
      <c r="P20" s="152"/>
      <c r="Q20" s="152"/>
      <c r="R20" s="152"/>
      <c r="S20" s="152"/>
      <c r="T20" s="152"/>
      <c r="U20" s="152"/>
      <c r="V20" s="152"/>
    </row>
    <row r="21" spans="2:22" s="26" customFormat="1" ht="17.25" customHeight="1">
      <c r="B21" s="1120" t="s">
        <v>295</v>
      </c>
      <c r="C21" s="496">
        <v>0</v>
      </c>
      <c r="D21" s="492">
        <f>'[6]Student &amp; University Support'!$D$21</f>
        <v>19259</v>
      </c>
      <c r="E21" s="493">
        <f>'[8]Student &amp; University Support'!$F$22</f>
        <v>0</v>
      </c>
      <c r="F21" s="1325">
        <f t="shared" ref="F21:F23" si="3">(E21*2%)+E21</f>
        <v>0</v>
      </c>
      <c r="G21" s="1039">
        <f>F21-E21</f>
        <v>0</v>
      </c>
      <c r="H21" s="495" t="e">
        <f>G21/E21</f>
        <v>#DIV/0!</v>
      </c>
      <c r="I21" s="107"/>
      <c r="J21"/>
      <c r="K21" s="796"/>
      <c r="L21" s="796"/>
      <c r="M21" s="796"/>
      <c r="N21" s="796"/>
      <c r="O21" s="152"/>
      <c r="P21" s="152"/>
      <c r="Q21" s="152"/>
      <c r="R21" s="152"/>
      <c r="S21" s="152"/>
      <c r="T21" s="152"/>
      <c r="U21" s="152"/>
      <c r="V21" s="152"/>
    </row>
    <row r="22" spans="2:22" s="26" customFormat="1" ht="48.75" customHeight="1">
      <c r="B22" s="773" t="s">
        <v>296</v>
      </c>
      <c r="C22" s="496">
        <f>'[7]REV&amp;EXP'!$G$131</f>
        <v>225284.28</v>
      </c>
      <c r="D22" s="492">
        <f>'[6]Student &amp; University Support'!$D$22</f>
        <v>21952</v>
      </c>
      <c r="E22" s="1039">
        <f>'[8]Student &amp; University Support'!$F$24</f>
        <v>121200</v>
      </c>
      <c r="F22" s="1325">
        <f t="shared" si="3"/>
        <v>123624</v>
      </c>
      <c r="G22" s="493">
        <f>F22-E22</f>
        <v>2424</v>
      </c>
      <c r="H22" s="495">
        <f>G22/E22</f>
        <v>0.02</v>
      </c>
      <c r="I22" s="107"/>
      <c r="J22" s="108"/>
      <c r="N22" s="152"/>
      <c r="O22" s="152"/>
      <c r="P22" s="152"/>
      <c r="Q22" s="152"/>
      <c r="R22" s="152"/>
      <c r="S22" s="152"/>
      <c r="T22" s="152"/>
      <c r="U22" s="152"/>
      <c r="V22" s="152"/>
    </row>
    <row r="23" spans="2:22" s="250" customFormat="1" ht="36" customHeight="1">
      <c r="B23" s="773" t="s">
        <v>279</v>
      </c>
      <c r="C23" s="496">
        <f>'[7]REV&amp;EXP'!$G$124</f>
        <v>40488.28</v>
      </c>
      <c r="D23" s="492">
        <f>'[6]Student &amp; University Support'!$D$23</f>
        <v>5294</v>
      </c>
      <c r="E23" s="493">
        <f>'[8]Student &amp; University Support'!$F$25</f>
        <v>56266</v>
      </c>
      <c r="F23" s="1325">
        <f t="shared" si="3"/>
        <v>57391.32</v>
      </c>
      <c r="G23" s="493">
        <f>F23-E23</f>
        <v>1125.3199999999997</v>
      </c>
      <c r="H23" s="495">
        <f>G23/E23</f>
        <v>1.9999999999999993E-2</v>
      </c>
      <c r="I23" s="107"/>
      <c r="J23" s="108"/>
      <c r="K23" s="381"/>
      <c r="L23" s="381"/>
      <c r="M23" s="381"/>
      <c r="N23" s="381"/>
      <c r="O23" s="270"/>
      <c r="P23" s="270"/>
      <c r="Q23" s="270"/>
      <c r="R23" s="270"/>
      <c r="S23" s="270"/>
      <c r="T23" s="270"/>
      <c r="U23" s="270"/>
    </row>
    <row r="24" spans="2:22" s="15" customFormat="1" ht="15" customHeight="1">
      <c r="B24" s="722" t="s">
        <v>259</v>
      </c>
      <c r="C24" s="537">
        <f>SUM(C20:C23)</f>
        <v>369132.79000000004</v>
      </c>
      <c r="D24" s="538">
        <f>SUM(D20:D23)</f>
        <v>50414</v>
      </c>
      <c r="E24" s="539">
        <f>SUM(E20:E23)</f>
        <v>287919</v>
      </c>
      <c r="F24" s="540">
        <f>SUM(F20:F23)</f>
        <v>293677.38</v>
      </c>
      <c r="G24" s="539">
        <f>F24-E24</f>
        <v>5758.3800000000047</v>
      </c>
      <c r="H24" s="588">
        <f>G24/E24</f>
        <v>2.0000000000000018E-2</v>
      </c>
      <c r="I24" s="107"/>
      <c r="J24" s="108"/>
      <c r="N24" s="14"/>
      <c r="O24" s="14"/>
      <c r="P24" s="14"/>
      <c r="Q24" s="14"/>
      <c r="R24" s="14"/>
      <c r="S24" s="14"/>
      <c r="T24" s="14"/>
      <c r="U24" s="14"/>
      <c r="V24" s="14"/>
    </row>
    <row r="25" spans="2:22" ht="6" customHeight="1">
      <c r="B25" s="723"/>
      <c r="C25" s="372"/>
      <c r="D25" s="316"/>
      <c r="E25" s="226"/>
      <c r="F25" s="421"/>
      <c r="G25" s="226"/>
      <c r="H25" s="462"/>
      <c r="I25" s="107"/>
      <c r="J25" s="108"/>
      <c r="N25" s="18"/>
      <c r="O25" s="18"/>
      <c r="P25" s="18"/>
      <c r="Q25" s="18"/>
      <c r="R25" s="18"/>
      <c r="S25" s="18"/>
      <c r="T25" s="18"/>
      <c r="U25" s="18"/>
      <c r="V25" s="18"/>
    </row>
    <row r="26" spans="2:22">
      <c r="B26" s="723" t="s">
        <v>297</v>
      </c>
      <c r="C26" s="372"/>
      <c r="D26" s="316"/>
      <c r="E26" s="226"/>
      <c r="F26" s="421"/>
      <c r="G26" s="226"/>
      <c r="H26" s="462"/>
      <c r="I26" s="107"/>
      <c r="J26"/>
      <c r="N26" s="18"/>
      <c r="O26" s="18"/>
      <c r="P26" s="18"/>
      <c r="Q26" s="18"/>
      <c r="R26" s="18"/>
      <c r="S26" s="18"/>
      <c r="T26" s="18"/>
      <c r="U26" s="18"/>
      <c r="V26" s="18"/>
    </row>
    <row r="27" spans="2:22" s="152" customFormat="1" ht="26.25" customHeight="1">
      <c r="B27" s="773" t="s">
        <v>298</v>
      </c>
      <c r="C27" s="496">
        <f>'[7]REV&amp;EXP'!$G$126</f>
        <v>12039.29</v>
      </c>
      <c r="D27" s="492">
        <f>'[6]Student &amp; University Support'!$D$27</f>
        <v>-126</v>
      </c>
      <c r="E27" s="493">
        <f>'[8]Student &amp; University Support'!$F$29</f>
        <v>15000</v>
      </c>
      <c r="F27" s="1325">
        <f t="shared" ref="F27:F29" si="4">(E27*2%)+E27</f>
        <v>15300</v>
      </c>
      <c r="G27" s="493">
        <f>F27-E27</f>
        <v>300</v>
      </c>
      <c r="H27" s="495">
        <f>G27/E27</f>
        <v>0.02</v>
      </c>
      <c r="I27" s="107"/>
      <c r="J27" s="108"/>
    </row>
    <row r="28" spans="2:22" s="152" customFormat="1" ht="24" customHeight="1">
      <c r="B28" s="773" t="s">
        <v>299</v>
      </c>
      <c r="C28" s="496">
        <f>'[7]REV&amp;EXP'!$G$125</f>
        <v>1621.05</v>
      </c>
      <c r="D28" s="492">
        <f>'[6]Student &amp; University Support'!$D$28</f>
        <v>0</v>
      </c>
      <c r="E28" s="493">
        <f>'[8]Student &amp; University Support'!$F$30</f>
        <v>8000</v>
      </c>
      <c r="F28" s="1325">
        <f t="shared" si="4"/>
        <v>8160</v>
      </c>
      <c r="G28" s="493">
        <f>F28-E28</f>
        <v>160</v>
      </c>
      <c r="H28" s="495">
        <f>G28/E28</f>
        <v>0.02</v>
      </c>
      <c r="I28" s="107"/>
      <c r="J28" s="108"/>
    </row>
    <row r="29" spans="2:22" s="152" customFormat="1" ht="31.5" customHeight="1">
      <c r="B29" s="773" t="s">
        <v>300</v>
      </c>
      <c r="C29" s="772">
        <f>'[7]REV&amp;EXP'!$G$123</f>
        <v>4000</v>
      </c>
      <c r="D29" s="492">
        <f>'[6]Student &amp; University Support'!$D$29</f>
        <v>18000</v>
      </c>
      <c r="E29" s="493">
        <f>'[8]Student &amp; University Support'!$F$31</f>
        <v>0</v>
      </c>
      <c r="F29" s="1325">
        <f t="shared" si="4"/>
        <v>0</v>
      </c>
      <c r="G29" s="493">
        <f>F29-E29</f>
        <v>0</v>
      </c>
      <c r="H29" s="495" t="e">
        <f>G29/E29</f>
        <v>#DIV/0!</v>
      </c>
      <c r="I29" s="107"/>
      <c r="J29" s="108"/>
    </row>
    <row r="30" spans="2:22" s="15" customFormat="1">
      <c r="B30" s="718" t="s">
        <v>301</v>
      </c>
      <c r="C30" s="532">
        <f>SUM(C27:C29)</f>
        <v>17660.34</v>
      </c>
      <c r="D30" s="533">
        <f>SUM(D27:D29)</f>
        <v>17874</v>
      </c>
      <c r="E30" s="534">
        <f>SUM(E27:E29)</f>
        <v>23000</v>
      </c>
      <c r="F30" s="535">
        <f>SUM(F27:F29)</f>
        <v>23460</v>
      </c>
      <c r="G30" s="534">
        <f>F30-E30</f>
        <v>460</v>
      </c>
      <c r="H30" s="587">
        <f>G30/E30</f>
        <v>0.02</v>
      </c>
      <c r="I30" s="107"/>
      <c r="J30" s="108"/>
    </row>
    <row r="31" spans="2:22" ht="12" customHeight="1">
      <c r="B31" s="724"/>
      <c r="C31" s="414"/>
      <c r="D31" s="315"/>
      <c r="E31" s="227"/>
      <c r="F31" s="422"/>
      <c r="G31" s="227"/>
      <c r="H31" s="463"/>
      <c r="I31" s="107"/>
      <c r="J31"/>
    </row>
    <row r="32" spans="2:22">
      <c r="B32" s="725" t="s">
        <v>302</v>
      </c>
      <c r="C32" s="415"/>
      <c r="D32" s="315"/>
      <c r="E32" s="227"/>
      <c r="F32" s="422"/>
      <c r="G32" s="227"/>
      <c r="H32" s="463"/>
      <c r="I32"/>
      <c r="J32" s="108"/>
    </row>
    <row r="33" spans="2:10" s="152" customFormat="1" ht="35.25" customHeight="1">
      <c r="B33" s="773" t="s">
        <v>303</v>
      </c>
      <c r="C33" s="496">
        <f>'[7]REV&amp;EXP'!$G$128</f>
        <v>140000</v>
      </c>
      <c r="D33" s="492">
        <f>'[6]Student &amp; University Support'!$D$33</f>
        <v>0</v>
      </c>
      <c r="E33" s="493">
        <f>'[8]Student &amp; University Support'!$F$35</f>
        <v>125211</v>
      </c>
      <c r="F33" s="1325">
        <f t="shared" ref="F33:F38" si="5">(E33*2%)+E33</f>
        <v>127715.22</v>
      </c>
      <c r="G33" s="493">
        <f>F33-E33</f>
        <v>2504.2200000000012</v>
      </c>
      <c r="H33" s="495">
        <f>G33/E33</f>
        <v>2.0000000000000011E-2</v>
      </c>
      <c r="I33"/>
      <c r="J33" s="108"/>
    </row>
    <row r="34" spans="2:10" s="152" customFormat="1" ht="54.75" customHeight="1">
      <c r="B34" s="773" t="s">
        <v>304</v>
      </c>
      <c r="C34" s="772">
        <f>'[7]REV&amp;EXP'!$G$129</f>
        <v>3500</v>
      </c>
      <c r="D34" s="492">
        <f>'[6]Student &amp; University Support'!$D$34</f>
        <v>0</v>
      </c>
      <c r="E34" s="493">
        <f>'[8]Student &amp; University Support'!$F$36</f>
        <v>5100</v>
      </c>
      <c r="F34" s="1325">
        <f t="shared" si="5"/>
        <v>5202</v>
      </c>
      <c r="G34" s="493">
        <f>F34-E34</f>
        <v>102</v>
      </c>
      <c r="H34" s="495">
        <f>G34/E34</f>
        <v>0.02</v>
      </c>
      <c r="I34"/>
      <c r="J34" s="108"/>
    </row>
    <row r="35" spans="2:10" s="152" customFormat="1" ht="36" customHeight="1">
      <c r="B35" s="773" t="s">
        <v>305</v>
      </c>
      <c r="C35" s="772">
        <f>'[7]REV&amp;EXP'!$G$130</f>
        <v>6744.27</v>
      </c>
      <c r="D35" s="492">
        <f>'[6]Student &amp; University Support'!$D$35</f>
        <v>0</v>
      </c>
      <c r="E35" s="493">
        <f>'[8]Student &amp; University Support'!$F$37</f>
        <v>12000</v>
      </c>
      <c r="F35" s="1325">
        <f t="shared" si="5"/>
        <v>12240</v>
      </c>
      <c r="G35" s="493">
        <f>F35-E35</f>
        <v>240</v>
      </c>
      <c r="H35" s="495">
        <f>G35/E35</f>
        <v>0.02</v>
      </c>
      <c r="I35"/>
      <c r="J35" s="108"/>
    </row>
    <row r="36" spans="2:10" s="152" customFormat="1" ht="36" customHeight="1">
      <c r="B36" s="773" t="s">
        <v>306</v>
      </c>
      <c r="C36" s="772">
        <f>'[7]REV&amp;EXP'!$G$133</f>
        <v>5000</v>
      </c>
      <c r="D36" s="492"/>
      <c r="E36" s="493">
        <f>'[8]Student &amp; University Support'!$F$38</f>
        <v>10000</v>
      </c>
      <c r="F36" s="1325">
        <f t="shared" si="5"/>
        <v>10200</v>
      </c>
      <c r="G36" s="493"/>
      <c r="H36" s="495"/>
      <c r="I36"/>
      <c r="J36" s="108"/>
    </row>
    <row r="37" spans="2:10" s="152" customFormat="1" ht="36" customHeight="1">
      <c r="B37" s="773" t="s">
        <v>307</v>
      </c>
      <c r="C37" s="772">
        <f>'[7]REV&amp;EXP'!$G$134</f>
        <v>9646.5</v>
      </c>
      <c r="D37" s="597"/>
      <c r="E37" s="493">
        <f>'[8]Student &amp; University Support'!$F$39</f>
        <v>17000</v>
      </c>
      <c r="F37" s="1325">
        <f t="shared" si="5"/>
        <v>17340</v>
      </c>
      <c r="G37" s="493">
        <f>F37-E37</f>
        <v>340</v>
      </c>
      <c r="H37" s="495">
        <f>G37/E37</f>
        <v>0.02</v>
      </c>
      <c r="I37"/>
      <c r="J37" s="108"/>
    </row>
    <row r="38" spans="2:10" s="152" customFormat="1" ht="36" customHeight="1">
      <c r="B38" s="773" t="s">
        <v>308</v>
      </c>
      <c r="C38" s="772">
        <f>'[7]REV&amp;EXP'!$G$135</f>
        <v>2062.59</v>
      </c>
      <c r="D38" s="597"/>
      <c r="E38" s="493">
        <f>'[8]Student &amp; University Support'!$F$40</f>
        <v>9700</v>
      </c>
      <c r="F38" s="1325">
        <f t="shared" si="5"/>
        <v>9894</v>
      </c>
      <c r="G38" s="493">
        <f>F38-E38</f>
        <v>194</v>
      </c>
      <c r="H38" s="495">
        <f>G38/E38</f>
        <v>0.02</v>
      </c>
      <c r="I38"/>
      <c r="J38" s="108"/>
    </row>
    <row r="39" spans="2:10" s="15" customFormat="1">
      <c r="B39" s="718" t="s">
        <v>309</v>
      </c>
      <c r="C39" s="545">
        <f>SUM(C33:C38)</f>
        <v>166953.35999999999</v>
      </c>
      <c r="D39" s="533">
        <f>SUM(D33:D35)</f>
        <v>0</v>
      </c>
      <c r="E39" s="534">
        <f>SUM(E33:E38)</f>
        <v>179011</v>
      </c>
      <c r="F39" s="535">
        <f>SUM(F33:F38)</f>
        <v>182591.22</v>
      </c>
      <c r="G39" s="534">
        <f>F39-E39</f>
        <v>3580.2200000000012</v>
      </c>
      <c r="H39" s="587">
        <f>G39/E39</f>
        <v>2.0000000000000007E-2</v>
      </c>
      <c r="I39"/>
      <c r="J39"/>
    </row>
    <row r="40" spans="2:10" s="15" customFormat="1" ht="9" customHeight="1">
      <c r="B40" s="725"/>
      <c r="C40" s="308"/>
      <c r="D40" s="317"/>
      <c r="E40" s="228"/>
      <c r="F40" s="423"/>
      <c r="G40" s="222"/>
      <c r="H40" s="735"/>
      <c r="I40"/>
      <c r="J40" s="108"/>
    </row>
    <row r="41" spans="2:10">
      <c r="B41" s="726" t="s">
        <v>310</v>
      </c>
      <c r="C41" s="516"/>
      <c r="D41" s="517"/>
      <c r="E41" s="518"/>
      <c r="F41" s="519"/>
      <c r="G41" s="520"/>
      <c r="H41" s="736"/>
      <c r="I41"/>
      <c r="J41" s="108"/>
    </row>
    <row r="42" spans="2:10" s="15" customFormat="1" ht="13.5" customHeight="1">
      <c r="B42" s="727" t="s">
        <v>311</v>
      </c>
      <c r="C42" s="532">
        <f>C39+C30+C24</f>
        <v>553746.49</v>
      </c>
      <c r="D42" s="533">
        <f>+D39+D30+D24</f>
        <v>68288</v>
      </c>
      <c r="E42" s="534">
        <f>+E39+E30+E24</f>
        <v>489930</v>
      </c>
      <c r="F42" s="535">
        <f>+F39+F30+F24</f>
        <v>499728.6</v>
      </c>
      <c r="G42" s="534">
        <f>+F42-E42</f>
        <v>9798.5999999999767</v>
      </c>
      <c r="H42" s="587">
        <f>G42/E42</f>
        <v>1.9999999999999952E-2</v>
      </c>
      <c r="I42"/>
      <c r="J42" s="108"/>
    </row>
    <row r="43" spans="2:10">
      <c r="B43" s="724"/>
      <c r="C43" s="307"/>
      <c r="D43" s="315"/>
      <c r="E43" s="227"/>
      <c r="F43" s="422"/>
      <c r="G43" s="223" t="s">
        <v>38</v>
      </c>
      <c r="H43" s="735"/>
      <c r="I43"/>
      <c r="J43" s="108"/>
    </row>
    <row r="44" spans="2:10" s="23" customFormat="1" ht="18" customHeight="1">
      <c r="B44" s="728" t="s">
        <v>312</v>
      </c>
      <c r="C44" s="521"/>
      <c r="D44" s="522"/>
      <c r="E44" s="523"/>
      <c r="F44" s="524"/>
      <c r="G44" s="525"/>
      <c r="H44" s="737"/>
      <c r="I44"/>
      <c r="J44"/>
    </row>
    <row r="45" spans="2:10" s="23" customFormat="1" ht="16.5" customHeight="1">
      <c r="B45" s="729" t="s">
        <v>313</v>
      </c>
      <c r="C45" s="526">
        <f>C42-C15</f>
        <v>519685.82</v>
      </c>
      <c r="D45" s="527">
        <f>D42-D15</f>
        <v>65278.39</v>
      </c>
      <c r="E45" s="528">
        <f>+E42-E15</f>
        <v>463080</v>
      </c>
      <c r="F45" s="529">
        <f>+F42-F15</f>
        <v>472341.6</v>
      </c>
      <c r="G45" s="530">
        <f>+F45-E45</f>
        <v>9261.5999999999767</v>
      </c>
      <c r="H45" s="738">
        <f>+G45/E45</f>
        <v>1.9999999999999948E-2</v>
      </c>
      <c r="I45"/>
      <c r="J45" s="108"/>
    </row>
    <row r="46" spans="2:10" ht="15.4" thickBot="1">
      <c r="B46" s="730"/>
      <c r="C46" s="309"/>
      <c r="D46" s="318"/>
      <c r="E46" s="25"/>
      <c r="F46" s="25"/>
      <c r="G46" s="1407"/>
      <c r="H46" s="739"/>
      <c r="I46"/>
      <c r="J46" s="108"/>
    </row>
    <row r="47" spans="2:10" ht="3" customHeight="1">
      <c r="B47" s="26"/>
      <c r="C47" s="27"/>
      <c r="E47" s="28"/>
      <c r="F47" s="28"/>
      <c r="I47"/>
      <c r="J47" s="108"/>
    </row>
    <row r="48" spans="2:10" ht="12" customHeight="1">
      <c r="B48" s="439"/>
      <c r="C48" s="1464"/>
      <c r="D48" s="1464"/>
      <c r="E48" s="1464"/>
      <c r="F48" s="1464"/>
      <c r="G48" s="1465"/>
      <c r="H48" s="1465"/>
      <c r="I48" s="1465"/>
      <c r="J48" s="1465"/>
    </row>
    <row r="49" spans="2:10">
      <c r="B49" s="18"/>
      <c r="I49"/>
      <c r="J49"/>
    </row>
    <row r="50" spans="2:10">
      <c r="B50" s="164"/>
      <c r="C50" s="34"/>
      <c r="I50"/>
      <c r="J50" s="108"/>
    </row>
    <row r="51" spans="2:10">
      <c r="B51" s="164"/>
      <c r="C51" s="34"/>
      <c r="E51" s="5"/>
      <c r="I51"/>
      <c r="J51" s="108"/>
    </row>
    <row r="52" spans="2:10">
      <c r="B52" s="164"/>
      <c r="C52" s="34"/>
      <c r="E52" s="5"/>
      <c r="I52"/>
      <c r="J52" s="108"/>
    </row>
    <row r="53" spans="2:10">
      <c r="B53" s="164"/>
      <c r="C53" s="34"/>
      <c r="E53" s="5"/>
      <c r="I53"/>
      <c r="J53" s="108"/>
    </row>
    <row r="54" spans="2:10">
      <c r="B54" s="164"/>
      <c r="C54" s="34"/>
      <c r="E54" s="5"/>
      <c r="I54"/>
      <c r="J54"/>
    </row>
    <row r="55" spans="2:10">
      <c r="B55" s="33"/>
      <c r="C55" s="34"/>
      <c r="E55" s="5"/>
      <c r="I55"/>
      <c r="J55" s="108"/>
    </row>
    <row r="56" spans="2:10">
      <c r="B56" s="33"/>
      <c r="C56" s="34"/>
      <c r="E56" s="5"/>
      <c r="I56"/>
      <c r="J56" s="108"/>
    </row>
    <row r="57" spans="2:10">
      <c r="B57" s="33"/>
      <c r="C57" s="34"/>
      <c r="I57"/>
      <c r="J57" s="108"/>
    </row>
    <row r="58" spans="2:10">
      <c r="B58" s="33"/>
      <c r="C58" s="34"/>
      <c r="E58" s="5"/>
      <c r="I58"/>
      <c r="J58" s="108"/>
    </row>
    <row r="59" spans="2:10">
      <c r="B59" s="33"/>
      <c r="C59" s="34"/>
      <c r="I59"/>
      <c r="J59"/>
    </row>
    <row r="60" spans="2:10">
      <c r="B60" s="33"/>
      <c r="C60" s="34"/>
      <c r="E60" s="5"/>
      <c r="I60"/>
      <c r="J60" s="108"/>
    </row>
    <row r="61" spans="2:10">
      <c r="B61" s="33"/>
      <c r="C61" s="34"/>
      <c r="I61"/>
      <c r="J61" s="108"/>
    </row>
    <row r="62" spans="2:10">
      <c r="B62" s="33"/>
      <c r="C62" s="34"/>
      <c r="E62" s="5"/>
      <c r="I62"/>
      <c r="J62" s="108"/>
    </row>
    <row r="63" spans="2:10">
      <c r="B63" s="33"/>
      <c r="C63" s="34"/>
      <c r="I63"/>
      <c r="J63" s="108"/>
    </row>
    <row r="64" spans="2:10">
      <c r="B64" s="33"/>
      <c r="C64" s="34"/>
      <c r="E64" s="5"/>
      <c r="I64"/>
      <c r="J64"/>
    </row>
    <row r="65" spans="2:10">
      <c r="B65" s="33"/>
      <c r="C65" s="34"/>
      <c r="I65"/>
      <c r="J65" s="108"/>
    </row>
    <row r="66" spans="2:10">
      <c r="B66" s="33"/>
      <c r="C66" s="34"/>
      <c r="E66" s="5"/>
      <c r="I66"/>
      <c r="J66" s="108"/>
    </row>
    <row r="67" spans="2:10">
      <c r="B67" s="33"/>
      <c r="C67" s="34"/>
      <c r="I67"/>
      <c r="J67" s="108"/>
    </row>
    <row r="68" spans="2:10">
      <c r="B68" s="33"/>
      <c r="C68" s="34"/>
      <c r="E68" s="1398"/>
      <c r="I68"/>
      <c r="J68" s="108"/>
    </row>
    <row r="69" spans="2:10">
      <c r="B69" s="33"/>
      <c r="C69" s="34"/>
      <c r="I69"/>
      <c r="J69" s="2"/>
    </row>
    <row r="70" spans="2:10">
      <c r="B70" s="33"/>
      <c r="C70" s="34"/>
      <c r="E70" s="5"/>
      <c r="I70"/>
      <c r="J70" s="2"/>
    </row>
    <row r="71" spans="2:10">
      <c r="B71" s="33"/>
      <c r="C71" s="34"/>
      <c r="I71"/>
      <c r="J71" s="2"/>
    </row>
  </sheetData>
  <mergeCells count="2">
    <mergeCell ref="C48:J48"/>
    <mergeCell ref="J2:K3"/>
  </mergeCells>
  <phoneticPr fontId="57" type="noConversion"/>
  <pageMargins left="0.75" right="0.75" top="1" bottom="1" header="0.5" footer="0.5"/>
  <pageSetup paperSize="3" scale="6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39997558519241921"/>
    <pageSetUpPr fitToPage="1"/>
  </sheetPr>
  <dimension ref="B1:IM81"/>
  <sheetViews>
    <sheetView zoomScaleNormal="100" workbookViewId="0">
      <pane xSplit="6480" ySplit="2025" topLeftCell="F1" activePane="bottomRight"/>
      <selection pane="topRight" activeCell="I6" sqref="I6"/>
      <selection pane="bottomLeft" activeCell="B25" sqref="B25:B26"/>
      <selection pane="bottomRight" activeCell="B17" sqref="B17"/>
    </sheetView>
  </sheetViews>
  <sheetFormatPr defaultColWidth="8.86328125" defaultRowHeight="12.75"/>
  <cols>
    <col min="1" max="1" width="4.73046875" customWidth="1"/>
    <col min="2" max="2" width="53.265625" customWidth="1"/>
    <col min="3" max="3" width="23.1328125" style="279" customWidth="1"/>
    <col min="4" max="4" width="22.265625" style="279" hidden="1" customWidth="1"/>
    <col min="5" max="7" width="24" style="126" customWidth="1"/>
    <col min="8" max="9" width="24.73046875" style="126" customWidth="1"/>
  </cols>
  <sheetData>
    <row r="1" spans="2:247" ht="27.75">
      <c r="B1" s="364" t="str">
        <f>'Cover Sheet'!G17</f>
        <v>2018-19 Referendum Budget</v>
      </c>
      <c r="C1" s="584"/>
      <c r="D1" s="1044"/>
      <c r="E1" s="383"/>
      <c r="F1" s="383"/>
      <c r="G1" s="383"/>
      <c r="H1" s="383"/>
      <c r="I1" s="383"/>
    </row>
    <row r="2" spans="2:247" ht="27.75">
      <c r="B2" s="40" t="s">
        <v>135</v>
      </c>
      <c r="C2" s="1092" t="s">
        <v>314</v>
      </c>
      <c r="D2" s="1045" t="s">
        <v>315</v>
      </c>
      <c r="E2" s="385" t="s">
        <v>196</v>
      </c>
      <c r="F2" s="813" t="s">
        <v>124</v>
      </c>
      <c r="G2" s="815" t="s">
        <v>129</v>
      </c>
      <c r="H2" s="817" t="s">
        <v>132</v>
      </c>
      <c r="I2" s="1198" t="s">
        <v>134</v>
      </c>
    </row>
    <row r="3" spans="2:247" ht="30.4" thickBot="1">
      <c r="B3" s="297" t="s">
        <v>10</v>
      </c>
      <c r="C3" s="363" t="s">
        <v>140</v>
      </c>
      <c r="D3" s="1095">
        <v>43008</v>
      </c>
      <c r="E3" s="812" t="str">
        <f>Administration!E3</f>
        <v>Approved Operating Budget</v>
      </c>
      <c r="F3" s="814" t="s">
        <v>345</v>
      </c>
      <c r="G3" s="816" t="s">
        <v>345</v>
      </c>
      <c r="H3" s="818" t="s">
        <v>345</v>
      </c>
      <c r="I3" s="1199" t="s">
        <v>345</v>
      </c>
    </row>
    <row r="4" spans="2:247" ht="21" customHeight="1">
      <c r="B4" s="187"/>
      <c r="C4" s="953" t="s">
        <v>316</v>
      </c>
      <c r="D4" s="953" t="s">
        <v>316</v>
      </c>
      <c r="E4" s="954">
        <v>53.75</v>
      </c>
      <c r="F4" s="1186">
        <v>53.75</v>
      </c>
      <c r="G4" s="1187">
        <v>54.72</v>
      </c>
      <c r="H4" s="1091">
        <v>55.7</v>
      </c>
      <c r="I4" s="1200">
        <v>56.71</v>
      </c>
      <c r="K4" s="121"/>
    </row>
    <row r="5" spans="2:247" ht="36.75" customHeight="1" thickBot="1">
      <c r="B5" s="187"/>
      <c r="C5" s="1188" t="s">
        <v>317</v>
      </c>
      <c r="D5" s="1188" t="s">
        <v>317</v>
      </c>
      <c r="E5" s="1191" t="s">
        <v>318</v>
      </c>
      <c r="F5" s="1190" t="s">
        <v>318</v>
      </c>
      <c r="G5" s="1189" t="s">
        <v>319</v>
      </c>
      <c r="H5" s="1192" t="s">
        <v>346</v>
      </c>
      <c r="I5" s="1201" t="s">
        <v>347</v>
      </c>
    </row>
    <row r="6" spans="2:247" ht="15.4" thickBot="1">
      <c r="B6" s="930" t="s">
        <v>348</v>
      </c>
      <c r="C6" s="931"/>
      <c r="D6" s="1046"/>
      <c r="E6" s="932"/>
      <c r="F6" s="932"/>
      <c r="G6" s="932"/>
      <c r="H6" s="982"/>
      <c r="I6" s="982"/>
    </row>
    <row r="7" spans="2:247" ht="15">
      <c r="B7" s="190" t="s">
        <v>74</v>
      </c>
      <c r="C7" s="934">
        <f>'[7]REV&amp;EXP'!$G$57</f>
        <v>1453671.07</v>
      </c>
      <c r="D7" s="1047">
        <f>'[17]Revenue &amp; Investments'!$D$6</f>
        <v>0</v>
      </c>
      <c r="E7" s="935">
        <f>1428920</f>
        <v>1428920</v>
      </c>
      <c r="F7" s="935">
        <f>'A.S.I. Revenue Projections'!H44</f>
        <v>1451260</v>
      </c>
      <c r="G7" s="935">
        <f>'A.S.I. Revenue Projections'!H51</f>
        <v>1477382.6800000002</v>
      </c>
      <c r="H7" s="935">
        <f>'A.S.I. Revenue Projections'!H58</f>
        <v>1503975.5682399999</v>
      </c>
      <c r="I7" s="935">
        <f>'A.S.I. Revenue Projections'!H64</f>
        <v>1531047.12846832</v>
      </c>
    </row>
    <row r="8" spans="2:247" ht="15.4">
      <c r="B8" s="937"/>
      <c r="C8" s="934"/>
      <c r="D8" s="1047"/>
      <c r="E8" s="936"/>
      <c r="F8" s="936"/>
      <c r="G8" s="936"/>
      <c r="H8" s="936"/>
      <c r="I8" s="936"/>
    </row>
    <row r="9" spans="2:247" ht="15">
      <c r="B9" s="938" t="s">
        <v>74</v>
      </c>
      <c r="C9" s="939">
        <f>C7</f>
        <v>1453671.07</v>
      </c>
      <c r="D9" s="1048">
        <v>350000</v>
      </c>
      <c r="E9" s="940">
        <f>E7</f>
        <v>1428920</v>
      </c>
      <c r="F9" s="940">
        <f>F7</f>
        <v>1451260</v>
      </c>
      <c r="G9" s="940">
        <f>G7</f>
        <v>1477382.6800000002</v>
      </c>
      <c r="H9" s="940">
        <f>H7</f>
        <v>1503975.5682399999</v>
      </c>
      <c r="I9" s="940">
        <f>I7</f>
        <v>1531047.12846832</v>
      </c>
    </row>
    <row r="10" spans="2:247" ht="15">
      <c r="B10" s="941"/>
      <c r="C10" s="942"/>
      <c r="D10" s="224"/>
      <c r="E10" s="936"/>
      <c r="F10" s="936"/>
      <c r="G10" s="936"/>
      <c r="H10" s="936"/>
      <c r="I10" s="936"/>
    </row>
    <row r="11" spans="2:247" ht="15">
      <c r="B11" s="930" t="s">
        <v>75</v>
      </c>
      <c r="C11" s="943"/>
      <c r="D11" s="1049"/>
      <c r="E11" s="936"/>
      <c r="F11" s="936"/>
      <c r="G11" s="936"/>
      <c r="H11" s="936"/>
      <c r="I11" s="936"/>
    </row>
    <row r="12" spans="2:247" ht="36" customHeight="1">
      <c r="B12" s="1211" t="s">
        <v>320</v>
      </c>
      <c r="C12" s="942">
        <f>'Student &amp; University Support'!C6</f>
        <v>13032.58</v>
      </c>
      <c r="D12" s="224">
        <f>'Student &amp; University Support'!D6</f>
        <v>964.61</v>
      </c>
      <c r="E12" s="936">
        <v>8000</v>
      </c>
      <c r="F12" s="936">
        <f>(E12*0.02)+E12</f>
        <v>8160</v>
      </c>
      <c r="G12" s="936">
        <f>(F12*0.02)+F12</f>
        <v>8323.2000000000007</v>
      </c>
      <c r="H12" s="1193">
        <f>(G12*0.02)+G12</f>
        <v>8489.6640000000007</v>
      </c>
      <c r="I12" s="936">
        <f>(H12*0.02)+H12</f>
        <v>8659.4572800000005</v>
      </c>
    </row>
    <row r="13" spans="2:247" s="88" customFormat="1" ht="15">
      <c r="B13" s="944" t="s">
        <v>148</v>
      </c>
      <c r="C13" s="942">
        <f>'Student &amp; University Support'!C15-'Student &amp; University Support'!C6</f>
        <v>21028.089999999997</v>
      </c>
      <c r="D13" s="224">
        <f>'Student &amp; University Support'!D15-'Student &amp; University Support'!D6</f>
        <v>2045</v>
      </c>
      <c r="E13" s="946">
        <v>18850</v>
      </c>
      <c r="F13" s="936">
        <f>'Student &amp; University Support'!F15</f>
        <v>27387</v>
      </c>
      <c r="G13" s="1348">
        <f>(F13*2%)+F13</f>
        <v>27934.74</v>
      </c>
      <c r="H13" s="1348">
        <f>(G13*2%)+G13</f>
        <v>28493.434800000003</v>
      </c>
      <c r="I13" s="1348">
        <f>(H13*2%)+H13</f>
        <v>29063.303496000004</v>
      </c>
      <c r="J13" s="136"/>
      <c r="K13" s="234"/>
      <c r="L13" s="235"/>
      <c r="M13" s="127"/>
      <c r="N13" s="235"/>
      <c r="O13" s="235"/>
      <c r="P13" s="276"/>
      <c r="R13" s="136"/>
      <c r="S13" s="234"/>
      <c r="T13" s="235"/>
      <c r="U13" s="127"/>
      <c r="V13" s="235"/>
      <c r="W13" s="235"/>
      <c r="X13" s="276"/>
      <c r="Z13" s="136"/>
      <c r="AA13" s="234"/>
      <c r="AB13" s="235"/>
      <c r="AC13" s="127"/>
      <c r="AD13" s="235"/>
      <c r="AE13" s="235"/>
      <c r="AF13" s="276"/>
      <c r="AH13" s="136"/>
      <c r="AI13" s="234"/>
      <c r="AJ13" s="235"/>
      <c r="AK13" s="127"/>
      <c r="AL13" s="235"/>
      <c r="AM13" s="235"/>
      <c r="AN13" s="276"/>
      <c r="AP13" s="136"/>
      <c r="AQ13" s="234"/>
      <c r="AR13" s="235"/>
      <c r="AS13" s="127"/>
      <c r="AT13" s="235"/>
      <c r="AU13" s="235"/>
      <c r="AV13" s="276"/>
      <c r="AX13" s="136"/>
      <c r="AY13" s="234"/>
      <c r="AZ13" s="235"/>
      <c r="BA13" s="127"/>
      <c r="BB13" s="235"/>
      <c r="BC13" s="235"/>
      <c r="BD13" s="276"/>
      <c r="BF13" s="136"/>
      <c r="BG13" s="234"/>
      <c r="BH13" s="235"/>
      <c r="BI13" s="127"/>
      <c r="BJ13" s="235"/>
      <c r="BK13" s="235"/>
      <c r="BL13" s="276"/>
      <c r="BN13" s="136"/>
      <c r="BO13" s="234"/>
      <c r="BP13" s="235"/>
      <c r="BQ13" s="127"/>
      <c r="BR13" s="235"/>
      <c r="BS13" s="235"/>
      <c r="BT13" s="276"/>
      <c r="BV13" s="136"/>
      <c r="BW13" s="234"/>
      <c r="BX13" s="235"/>
      <c r="BY13" s="127"/>
      <c r="BZ13" s="235"/>
      <c r="CA13" s="235"/>
      <c r="CB13" s="276"/>
      <c r="CD13" s="136"/>
      <c r="CE13" s="234"/>
      <c r="CF13" s="235"/>
      <c r="CG13" s="127"/>
      <c r="CH13" s="235"/>
      <c r="CI13" s="235"/>
      <c r="CJ13" s="276"/>
      <c r="CL13" s="136"/>
      <c r="CM13" s="234"/>
      <c r="CN13" s="235"/>
      <c r="CO13" s="127"/>
      <c r="CP13" s="235"/>
      <c r="CQ13" s="235"/>
      <c r="CR13" s="276"/>
      <c r="CT13" s="136"/>
      <c r="CU13" s="234"/>
      <c r="CV13" s="235"/>
      <c r="CW13" s="127"/>
      <c r="CX13" s="235"/>
      <c r="CY13" s="235"/>
      <c r="CZ13" s="276"/>
      <c r="DB13" s="136"/>
      <c r="DC13" s="234"/>
      <c r="DD13" s="235"/>
      <c r="DE13" s="127"/>
      <c r="DF13" s="235"/>
      <c r="DG13" s="235"/>
      <c r="DH13" s="276"/>
      <c r="DJ13" s="136"/>
      <c r="DK13" s="234"/>
      <c r="DL13" s="235"/>
      <c r="DM13" s="127"/>
      <c r="DN13" s="235"/>
      <c r="DO13" s="235"/>
      <c r="DP13" s="276"/>
      <c r="DR13" s="136"/>
      <c r="DS13" s="234"/>
      <c r="DT13" s="235"/>
      <c r="DU13" s="127"/>
      <c r="DV13" s="235"/>
      <c r="DW13" s="235"/>
      <c r="DX13" s="276"/>
      <c r="DZ13" s="136"/>
      <c r="EA13" s="234"/>
      <c r="EB13" s="235"/>
      <c r="EC13" s="127"/>
      <c r="ED13" s="235"/>
      <c r="EE13" s="235"/>
      <c r="EF13" s="276"/>
      <c r="EH13" s="136"/>
      <c r="EI13" s="234"/>
      <c r="EJ13" s="235"/>
      <c r="EK13" s="127"/>
      <c r="EL13" s="235"/>
      <c r="EM13" s="235"/>
      <c r="EN13" s="276"/>
      <c r="EP13" s="136"/>
      <c r="EQ13" s="234"/>
      <c r="ER13" s="235"/>
      <c r="ES13" s="127"/>
      <c r="ET13" s="235"/>
      <c r="EU13" s="235"/>
      <c r="EV13" s="276"/>
      <c r="EX13" s="136"/>
      <c r="EY13" s="234"/>
      <c r="EZ13" s="235"/>
      <c r="FA13" s="127"/>
      <c r="FB13" s="235"/>
      <c r="FC13" s="235"/>
      <c r="FD13" s="276"/>
      <c r="FF13" s="136"/>
      <c r="FG13" s="234"/>
      <c r="FH13" s="235"/>
      <c r="FI13" s="127"/>
      <c r="FJ13" s="235"/>
      <c r="FK13" s="235"/>
      <c r="FL13" s="276"/>
      <c r="FN13" s="136"/>
      <c r="FO13" s="234"/>
      <c r="FP13" s="235"/>
      <c r="FQ13" s="127"/>
      <c r="FR13" s="235"/>
      <c r="FS13" s="235"/>
      <c r="FT13" s="276"/>
      <c r="FV13" s="136"/>
      <c r="FW13" s="234"/>
      <c r="FX13" s="235"/>
      <c r="FY13" s="127"/>
      <c r="FZ13" s="235"/>
      <c r="GA13" s="235"/>
      <c r="GB13" s="276"/>
      <c r="GD13" s="136"/>
      <c r="GE13" s="234"/>
      <c r="GF13" s="235"/>
      <c r="GG13" s="127"/>
      <c r="GH13" s="235"/>
      <c r="GI13" s="235"/>
      <c r="GJ13" s="276"/>
      <c r="GL13" s="136"/>
      <c r="GM13" s="234"/>
      <c r="GN13" s="235"/>
      <c r="GO13" s="127"/>
      <c r="GP13" s="235"/>
      <c r="GQ13" s="235"/>
      <c r="GR13" s="276"/>
      <c r="GT13" s="136"/>
      <c r="GU13" s="234"/>
      <c r="GV13" s="235"/>
      <c r="GW13" s="127"/>
      <c r="GX13" s="235"/>
      <c r="GY13" s="235"/>
      <c r="GZ13" s="276"/>
      <c r="HB13" s="136"/>
      <c r="HC13" s="234"/>
      <c r="HD13" s="235"/>
      <c r="HE13" s="127"/>
      <c r="HF13" s="235"/>
      <c r="HG13" s="235"/>
      <c r="HH13" s="276"/>
      <c r="HJ13" s="136"/>
      <c r="HK13" s="234"/>
      <c r="HL13" s="235"/>
      <c r="HM13" s="127"/>
      <c r="HN13" s="235"/>
      <c r="HO13" s="235"/>
      <c r="HP13" s="276"/>
      <c r="HR13" s="136"/>
      <c r="HS13" s="234"/>
      <c r="HT13" s="235"/>
      <c r="HU13" s="127"/>
      <c r="HV13" s="235"/>
      <c r="HW13" s="235"/>
      <c r="HX13" s="276"/>
      <c r="HZ13" s="136"/>
      <c r="IA13" s="234"/>
      <c r="IB13" s="235"/>
      <c r="IC13" s="127"/>
      <c r="ID13" s="235"/>
      <c r="IE13" s="235"/>
      <c r="IF13" s="276"/>
      <c r="IH13" s="136"/>
      <c r="II13" s="234"/>
      <c r="IJ13" s="235"/>
      <c r="IK13" s="127"/>
      <c r="IL13" s="235"/>
      <c r="IM13" s="235"/>
    </row>
    <row r="14" spans="2:247" s="88" customFormat="1" ht="15">
      <c r="B14" s="944" t="str">
        <f>'[17]Revenue &amp; Investments'!$B$16</f>
        <v>Transfer from Retained Earnings</v>
      </c>
      <c r="C14" s="942">
        <v>0</v>
      </c>
      <c r="D14" s="224">
        <v>0</v>
      </c>
      <c r="E14" s="946">
        <v>0</v>
      </c>
      <c r="F14" s="936">
        <v>0</v>
      </c>
      <c r="G14" s="946">
        <v>0</v>
      </c>
      <c r="H14" s="946">
        <v>0</v>
      </c>
      <c r="I14" s="946">
        <v>0</v>
      </c>
      <c r="J14" s="136"/>
      <c r="K14" s="234"/>
      <c r="L14" s="235"/>
      <c r="M14" s="127"/>
      <c r="N14" s="235"/>
      <c r="O14" s="235"/>
      <c r="P14" s="276"/>
      <c r="R14" s="136"/>
      <c r="S14" s="234"/>
      <c r="T14" s="235"/>
      <c r="U14" s="127"/>
      <c r="V14" s="235"/>
      <c r="W14" s="235"/>
      <c r="X14" s="276"/>
      <c r="Z14" s="136"/>
      <c r="AA14" s="234"/>
      <c r="AB14" s="235"/>
      <c r="AC14" s="127"/>
      <c r="AD14" s="235"/>
      <c r="AE14" s="235"/>
      <c r="AF14" s="276"/>
      <c r="AH14" s="136"/>
      <c r="AI14" s="234"/>
      <c r="AJ14" s="235"/>
      <c r="AK14" s="127"/>
      <c r="AL14" s="235"/>
      <c r="AM14" s="235"/>
      <c r="AN14" s="276"/>
      <c r="AP14" s="136"/>
      <c r="AQ14" s="234"/>
      <c r="AR14" s="235"/>
      <c r="AS14" s="127"/>
      <c r="AT14" s="235"/>
      <c r="AU14" s="235"/>
      <c r="AV14" s="276"/>
      <c r="AX14" s="136"/>
      <c r="AY14" s="234"/>
      <c r="AZ14" s="235"/>
      <c r="BA14" s="127"/>
      <c r="BB14" s="235"/>
      <c r="BC14" s="235"/>
      <c r="BD14" s="276"/>
      <c r="BF14" s="136"/>
      <c r="BG14" s="234"/>
      <c r="BH14" s="235"/>
      <c r="BI14" s="127"/>
      <c r="BJ14" s="235"/>
      <c r="BK14" s="235"/>
      <c r="BL14" s="276"/>
      <c r="BN14" s="136"/>
      <c r="BO14" s="234"/>
      <c r="BP14" s="235"/>
      <c r="BQ14" s="127"/>
      <c r="BR14" s="235"/>
      <c r="BS14" s="235"/>
      <c r="BT14" s="276"/>
      <c r="BV14" s="136"/>
      <c r="BW14" s="234"/>
      <c r="BX14" s="235"/>
      <c r="BY14" s="127"/>
      <c r="BZ14" s="235"/>
      <c r="CA14" s="235"/>
      <c r="CB14" s="276"/>
      <c r="CD14" s="136"/>
      <c r="CE14" s="234"/>
      <c r="CF14" s="235"/>
      <c r="CG14" s="127"/>
      <c r="CH14" s="235"/>
      <c r="CI14" s="235"/>
      <c r="CJ14" s="276"/>
      <c r="CL14" s="136"/>
      <c r="CM14" s="234"/>
      <c r="CN14" s="235"/>
      <c r="CO14" s="127"/>
      <c r="CP14" s="235"/>
      <c r="CQ14" s="235"/>
      <c r="CR14" s="276"/>
      <c r="CT14" s="136"/>
      <c r="CU14" s="234"/>
      <c r="CV14" s="235"/>
      <c r="CW14" s="127"/>
      <c r="CX14" s="235"/>
      <c r="CY14" s="235"/>
      <c r="CZ14" s="276"/>
      <c r="DB14" s="136"/>
      <c r="DC14" s="234"/>
      <c r="DD14" s="235"/>
      <c r="DE14" s="127"/>
      <c r="DF14" s="235"/>
      <c r="DG14" s="235"/>
      <c r="DH14" s="276"/>
      <c r="DJ14" s="136"/>
      <c r="DK14" s="234"/>
      <c r="DL14" s="235"/>
      <c r="DM14" s="127"/>
      <c r="DN14" s="235"/>
      <c r="DO14" s="235"/>
      <c r="DP14" s="276"/>
      <c r="DR14" s="136"/>
      <c r="DS14" s="234"/>
      <c r="DT14" s="235"/>
      <c r="DU14" s="127"/>
      <c r="DV14" s="235"/>
      <c r="DW14" s="235"/>
      <c r="DX14" s="276"/>
      <c r="DZ14" s="136"/>
      <c r="EA14" s="234"/>
      <c r="EB14" s="235"/>
      <c r="EC14" s="127"/>
      <c r="ED14" s="235"/>
      <c r="EE14" s="235"/>
      <c r="EF14" s="276"/>
      <c r="EH14" s="136"/>
      <c r="EI14" s="234"/>
      <c r="EJ14" s="235"/>
      <c r="EK14" s="127"/>
      <c r="EL14" s="235"/>
      <c r="EM14" s="235"/>
      <c r="EN14" s="276"/>
      <c r="EP14" s="136"/>
      <c r="EQ14" s="234"/>
      <c r="ER14" s="235"/>
      <c r="ES14" s="127"/>
      <c r="ET14" s="235"/>
      <c r="EU14" s="235"/>
      <c r="EV14" s="276"/>
      <c r="EX14" s="136"/>
      <c r="EY14" s="234"/>
      <c r="EZ14" s="235"/>
      <c r="FA14" s="127"/>
      <c r="FB14" s="235"/>
      <c r="FC14" s="235"/>
      <c r="FD14" s="276"/>
      <c r="FF14" s="136"/>
      <c r="FG14" s="234"/>
      <c r="FH14" s="235"/>
      <c r="FI14" s="127"/>
      <c r="FJ14" s="235"/>
      <c r="FK14" s="235"/>
      <c r="FL14" s="276"/>
      <c r="FN14" s="136"/>
      <c r="FO14" s="234"/>
      <c r="FP14" s="235"/>
      <c r="FQ14" s="127"/>
      <c r="FR14" s="235"/>
      <c r="FS14" s="235"/>
      <c r="FT14" s="276"/>
      <c r="FV14" s="136"/>
      <c r="FW14" s="234"/>
      <c r="FX14" s="235"/>
      <c r="FY14" s="127"/>
      <c r="FZ14" s="235"/>
      <c r="GA14" s="235"/>
      <c r="GB14" s="276"/>
      <c r="GD14" s="136"/>
      <c r="GE14" s="234"/>
      <c r="GF14" s="235"/>
      <c r="GG14" s="127"/>
      <c r="GH14" s="235"/>
      <c r="GI14" s="235"/>
      <c r="GJ14" s="276"/>
      <c r="GL14" s="136"/>
      <c r="GM14" s="234"/>
      <c r="GN14" s="235"/>
      <c r="GO14" s="127"/>
      <c r="GP14" s="235"/>
      <c r="GQ14" s="235"/>
      <c r="GR14" s="276"/>
      <c r="GT14" s="136"/>
      <c r="GU14" s="234"/>
      <c r="GV14" s="235"/>
      <c r="GW14" s="127"/>
      <c r="GX14" s="235"/>
      <c r="GY14" s="235"/>
      <c r="GZ14" s="276"/>
      <c r="HB14" s="136"/>
      <c r="HC14" s="234"/>
      <c r="HD14" s="235"/>
      <c r="HE14" s="127"/>
      <c r="HF14" s="235"/>
      <c r="HG14" s="235"/>
      <c r="HH14" s="276"/>
      <c r="HJ14" s="136"/>
      <c r="HK14" s="234"/>
      <c r="HL14" s="235"/>
      <c r="HM14" s="127"/>
      <c r="HN14" s="235"/>
      <c r="HO14" s="235"/>
      <c r="HP14" s="276"/>
      <c r="HR14" s="136"/>
      <c r="HS14" s="234"/>
      <c r="HT14" s="235"/>
      <c r="HU14" s="127"/>
      <c r="HV14" s="235"/>
      <c r="HW14" s="235"/>
      <c r="HX14" s="276"/>
      <c r="HZ14" s="136"/>
      <c r="IA14" s="234"/>
      <c r="IB14" s="235"/>
      <c r="IC14" s="127"/>
      <c r="ID14" s="235"/>
      <c r="IE14" s="235"/>
      <c r="IF14" s="276"/>
      <c r="IH14" s="136"/>
      <c r="II14" s="234"/>
      <c r="IJ14" s="235"/>
      <c r="IK14" s="127"/>
      <c r="IL14" s="235"/>
      <c r="IM14" s="235"/>
    </row>
    <row r="15" spans="2:247" ht="15">
      <c r="B15" s="944"/>
      <c r="C15" s="942"/>
      <c r="D15" s="224"/>
      <c r="E15" s="936"/>
      <c r="F15" s="936"/>
      <c r="G15" s="936"/>
      <c r="H15" s="936"/>
      <c r="I15" s="936"/>
    </row>
    <row r="16" spans="2:247" s="79" customFormat="1" ht="15">
      <c r="B16" s="938" t="s">
        <v>78</v>
      </c>
      <c r="C16" s="939">
        <f>SUM(C12:C14)</f>
        <v>34060.67</v>
      </c>
      <c r="D16" s="1048">
        <f>SUM(D12:D14)</f>
        <v>3009.61</v>
      </c>
      <c r="E16" s="940">
        <f>+SUM(E12:E14)</f>
        <v>26850</v>
      </c>
      <c r="F16" s="940">
        <f>+SUM(F12:F14)</f>
        <v>35547</v>
      </c>
      <c r="G16" s="940">
        <f>+SUM(G12:G14)</f>
        <v>36257.94</v>
      </c>
      <c r="H16" s="940">
        <f>+SUM(H12:H14)</f>
        <v>36983.098800000007</v>
      </c>
      <c r="I16" s="940">
        <f>+SUM(I12:I14)</f>
        <v>37722.760776000003</v>
      </c>
    </row>
    <row r="17" spans="2:9" ht="15">
      <c r="B17" s="944"/>
      <c r="C17" s="942"/>
      <c r="D17" s="224"/>
      <c r="E17" s="936"/>
      <c r="F17" s="936"/>
      <c r="G17" s="936"/>
      <c r="H17" s="936"/>
      <c r="I17" s="936"/>
    </row>
    <row r="18" spans="2:9" s="79" customFormat="1" ht="15">
      <c r="B18" s="938" t="s">
        <v>79</v>
      </c>
      <c r="C18" s="939">
        <f>C16+C9</f>
        <v>1487731.74</v>
      </c>
      <c r="D18" s="1048">
        <f>D16+D9</f>
        <v>353009.61</v>
      </c>
      <c r="E18" s="940">
        <f>+E16+E9</f>
        <v>1455770</v>
      </c>
      <c r="F18" s="940">
        <f>+F16+F9</f>
        <v>1486807</v>
      </c>
      <c r="G18" s="940">
        <f>+G16+G9</f>
        <v>1513640.62</v>
      </c>
      <c r="H18" s="940">
        <f>+H16+H9</f>
        <v>1540958.66704</v>
      </c>
      <c r="I18" s="940">
        <f>+I16+I9</f>
        <v>1568769.8892443201</v>
      </c>
    </row>
    <row r="19" spans="2:9" ht="15">
      <c r="B19" s="944"/>
      <c r="C19" s="942"/>
      <c r="D19" s="224"/>
      <c r="E19" s="936"/>
      <c r="F19" s="936"/>
      <c r="G19" s="936"/>
      <c r="H19" s="936"/>
      <c r="I19" s="936"/>
    </row>
    <row r="20" spans="2:9" ht="15">
      <c r="B20" s="930" t="s">
        <v>83</v>
      </c>
      <c r="C20" s="943"/>
      <c r="D20" s="1049"/>
      <c r="E20" s="936"/>
      <c r="F20" s="936"/>
      <c r="G20" s="936"/>
      <c r="H20" s="936"/>
      <c r="I20" s="936"/>
    </row>
    <row r="21" spans="2:9" ht="15">
      <c r="B21" s="947" t="str">
        <f>'[2]Four Year Projection'!A28</f>
        <v>Administration</v>
      </c>
      <c r="C21" s="934">
        <f>Administration!C41</f>
        <v>384651.75</v>
      </c>
      <c r="D21" s="1047" t="e">
        <f>Administration!#REF!</f>
        <v>#REF!</v>
      </c>
      <c r="E21" s="948">
        <f>Administration!E41</f>
        <v>443596.21327893331</v>
      </c>
      <c r="F21" s="948">
        <f>Administration!K11</f>
        <v>452468.13754451199</v>
      </c>
      <c r="G21" s="948">
        <f>Administration!K16</f>
        <v>461517.50029540225</v>
      </c>
      <c r="H21" s="948">
        <f>Administration!K21</f>
        <v>470747.8503013103</v>
      </c>
      <c r="I21" s="948">
        <f>Administration!K26</f>
        <v>474320.28019886208</v>
      </c>
    </row>
    <row r="22" spans="2:9" ht="15">
      <c r="B22" s="947" t="str">
        <f>'[2]Four Year Projection'!A29</f>
        <v>ASI Student Government</v>
      </c>
      <c r="C22" s="934">
        <f>'Student Government'!C47</f>
        <v>477719.28999999992</v>
      </c>
      <c r="D22" s="1047">
        <f>'Student Government'!D47</f>
        <v>64089</v>
      </c>
      <c r="E22" s="948">
        <f>'Student Government'!E47</f>
        <v>522243.37393744005</v>
      </c>
      <c r="F22" s="948">
        <f>'Student Government'!K11</f>
        <v>536794.40705186885</v>
      </c>
      <c r="G22" s="948">
        <f>'Student Government'!K16</f>
        <v>547530.29519290617</v>
      </c>
      <c r="H22" s="948">
        <f>'Student Government'!K22</f>
        <v>558480.90109676425</v>
      </c>
      <c r="I22" s="948">
        <f>'Student Government'!K27</f>
        <v>569650.51911869959</v>
      </c>
    </row>
    <row r="23" spans="2:9" ht="14.65" customHeight="1">
      <c r="B23" s="1060" t="s">
        <v>321</v>
      </c>
      <c r="C23" s="934">
        <f>'Student &amp; University Support'!C42</f>
        <v>553746.49</v>
      </c>
      <c r="D23" s="1047">
        <f>'Student &amp; University Support'!D42</f>
        <v>68288</v>
      </c>
      <c r="E23" s="948">
        <f>'Student &amp; University Support'!E42</f>
        <v>489930</v>
      </c>
      <c r="F23" s="948">
        <f>'Student &amp; University Support'!J9</f>
        <v>499728.6</v>
      </c>
      <c r="G23" s="948">
        <f>'Student &amp; University Support'!J10</f>
        <v>509723.17199999996</v>
      </c>
      <c r="H23" s="948">
        <f>'Student &amp; University Support'!J11</f>
        <v>519917.63543999998</v>
      </c>
      <c r="I23" s="948">
        <f>'Student &amp; University Support'!J12</f>
        <v>530315.98814879998</v>
      </c>
    </row>
    <row r="24" spans="2:9" ht="15">
      <c r="B24" s="938" t="s">
        <v>85</v>
      </c>
      <c r="C24" s="939">
        <f t="shared" ref="C24:E24" si="0">SUM(C21:C23)</f>
        <v>1416117.5299999998</v>
      </c>
      <c r="D24" s="1048" t="e">
        <f t="shared" si="0"/>
        <v>#REF!</v>
      </c>
      <c r="E24" s="949">
        <f t="shared" si="0"/>
        <v>1455769.5872163733</v>
      </c>
      <c r="F24" s="949">
        <f>SUM(F21:F23)</f>
        <v>1488991.1445963806</v>
      </c>
      <c r="G24" s="949">
        <f>SUM(G21:G23)</f>
        <v>1518770.9674883084</v>
      </c>
      <c r="H24" s="949">
        <f>SUM(H21:H23)</f>
        <v>1549146.3868380745</v>
      </c>
      <c r="I24" s="949">
        <f>SUM(I21:I23)</f>
        <v>1574286.7874663617</v>
      </c>
    </row>
    <row r="25" spans="2:9" ht="15">
      <c r="B25" s="944"/>
      <c r="C25" s="942"/>
      <c r="D25" s="224"/>
      <c r="E25" s="936"/>
      <c r="F25" s="936"/>
      <c r="G25" s="936"/>
      <c r="H25" s="936"/>
      <c r="I25" s="936"/>
    </row>
    <row r="26" spans="2:9" s="129" customFormat="1" ht="15">
      <c r="B26" s="938" t="s">
        <v>79</v>
      </c>
      <c r="C26" s="950">
        <f>C18</f>
        <v>1487731.74</v>
      </c>
      <c r="D26" s="1050">
        <f>D18</f>
        <v>353009.61</v>
      </c>
      <c r="E26" s="949">
        <f>+E18</f>
        <v>1455770</v>
      </c>
      <c r="F26" s="949">
        <f>+F18</f>
        <v>1486807</v>
      </c>
      <c r="G26" s="949">
        <f>+G18</f>
        <v>1513640.62</v>
      </c>
      <c r="H26" s="949">
        <f>+H18</f>
        <v>1540958.66704</v>
      </c>
      <c r="I26" s="949">
        <f>+I18</f>
        <v>1568769.8892443201</v>
      </c>
    </row>
    <row r="27" spans="2:9" s="129" customFormat="1" ht="15">
      <c r="B27" s="938" t="s">
        <v>85</v>
      </c>
      <c r="C27" s="950">
        <f>C24</f>
        <v>1416117.5299999998</v>
      </c>
      <c r="D27" s="1050" t="e">
        <f>D24</f>
        <v>#REF!</v>
      </c>
      <c r="E27" s="949">
        <f>+E24</f>
        <v>1455769.5872163733</v>
      </c>
      <c r="F27" s="949">
        <f>+F24</f>
        <v>1488991.1445963806</v>
      </c>
      <c r="G27" s="949">
        <f>+G24</f>
        <v>1518770.9674883084</v>
      </c>
      <c r="H27" s="949">
        <f>+H24</f>
        <v>1549146.3868380745</v>
      </c>
      <c r="I27" s="949">
        <f>+I24</f>
        <v>1574286.7874663617</v>
      </c>
    </row>
    <row r="28" spans="2:9" s="129" customFormat="1" ht="15">
      <c r="B28" s="951"/>
      <c r="C28" s="950"/>
      <c r="D28" s="1050"/>
      <c r="E28" s="949"/>
      <c r="F28" s="949"/>
      <c r="G28" s="949"/>
      <c r="H28" s="949"/>
      <c r="I28" s="949"/>
    </row>
    <row r="29" spans="2:9" s="129" customFormat="1" ht="15.4" thickBot="1">
      <c r="B29" s="938" t="s">
        <v>86</v>
      </c>
      <c r="C29" s="939">
        <f>C26-C27</f>
        <v>71614.210000000196</v>
      </c>
      <c r="D29" s="1048"/>
      <c r="E29" s="952">
        <f>+E26-E27</f>
        <v>0.41278362669982016</v>
      </c>
      <c r="F29" s="952">
        <f>+F26-F27</f>
        <v>-2184.1445963806473</v>
      </c>
      <c r="G29" s="952">
        <f>+G26-G27</f>
        <v>-5130.3474883083254</v>
      </c>
      <c r="H29" s="952">
        <f>+H26-H27</f>
        <v>-8187.7197980745696</v>
      </c>
      <c r="I29" s="952">
        <f>+I26-I27</f>
        <v>-5516.8982220415492</v>
      </c>
    </row>
    <row r="30" spans="2:9" s="129" customFormat="1" ht="13.15">
      <c r="B30" s="134"/>
      <c r="C30" s="358"/>
      <c r="D30" s="976"/>
      <c r="E30" s="241"/>
      <c r="F30" s="241"/>
      <c r="G30" s="241"/>
      <c r="H30" s="968"/>
      <c r="I30" s="968"/>
    </row>
    <row r="31" spans="2:9" ht="25.5">
      <c r="B31" s="1043" t="s">
        <v>322</v>
      </c>
      <c r="C31" s="356"/>
      <c r="D31" s="678"/>
      <c r="E31" s="235"/>
      <c r="F31" s="235"/>
      <c r="G31" s="235"/>
      <c r="H31" s="969"/>
      <c r="I31" s="969"/>
    </row>
    <row r="32" spans="2:9">
      <c r="B32" s="188"/>
      <c r="C32" s="357"/>
      <c r="D32" s="1051"/>
      <c r="E32" s="237" t="s">
        <v>38</v>
      </c>
      <c r="F32" s="237" t="s">
        <v>38</v>
      </c>
      <c r="G32" s="237" t="s">
        <v>38</v>
      </c>
      <c r="H32" s="970" t="s">
        <v>38</v>
      </c>
      <c r="I32" s="970" t="s">
        <v>38</v>
      </c>
    </row>
    <row r="33" spans="2:9" ht="13.15" thickBot="1">
      <c r="B33" s="194" t="str">
        <f>'Student &amp; University Support'!B21</f>
        <v xml:space="preserve">Unrestricted Funding for the Finance Committee </v>
      </c>
      <c r="C33" s="359"/>
      <c r="D33" s="1052"/>
      <c r="E33" s="243" t="s">
        <v>38</v>
      </c>
      <c r="F33" s="243" t="s">
        <v>38</v>
      </c>
      <c r="G33" s="243" t="s">
        <v>38</v>
      </c>
      <c r="H33" s="971" t="s">
        <v>38</v>
      </c>
      <c r="I33" s="971" t="s">
        <v>38</v>
      </c>
    </row>
    <row r="34" spans="2:9" ht="15">
      <c r="B34" s="131" t="s">
        <v>87</v>
      </c>
      <c r="C34" s="361"/>
      <c r="D34" s="1053"/>
      <c r="E34" s="348"/>
      <c r="F34" s="348"/>
      <c r="G34" s="348"/>
      <c r="H34" s="972"/>
      <c r="I34" s="972"/>
    </row>
    <row r="35" spans="2:9" s="79" customFormat="1" ht="13.15">
      <c r="B35" s="792" t="s">
        <v>88</v>
      </c>
      <c r="C35" s="793">
        <f>1582415+0.4</f>
        <v>1582415.4</v>
      </c>
      <c r="D35" s="1054"/>
      <c r="E35" s="756"/>
      <c r="F35" s="756"/>
      <c r="G35" s="756"/>
      <c r="H35" s="973"/>
      <c r="I35" s="973"/>
    </row>
    <row r="36" spans="2:9" s="79" customFormat="1" ht="12.75" customHeight="1">
      <c r="B36" s="792" t="str">
        <f>B29</f>
        <v>Net Operating Income/(Deficit)</v>
      </c>
      <c r="C36" s="791">
        <f>C29+0.6</f>
        <v>71614.810000000201</v>
      </c>
      <c r="D36" s="1055"/>
      <c r="E36" s="756"/>
      <c r="F36" s="756"/>
      <c r="G36" s="756"/>
      <c r="H36" s="973"/>
      <c r="I36" s="973"/>
    </row>
    <row r="37" spans="2:9" s="79" customFormat="1" ht="29.25" customHeight="1" thickBot="1">
      <c r="B37" s="794" t="s">
        <v>150</v>
      </c>
      <c r="C37" s="795">
        <f>-(Administration!C44+Administration!C45+Administration!C46+'Student Government'!C50)</f>
        <v>-27187.200000000001</v>
      </c>
      <c r="D37" s="1056"/>
      <c r="E37" s="757"/>
      <c r="F37" s="757"/>
      <c r="G37" s="757"/>
      <c r="H37" s="974"/>
      <c r="I37" s="974"/>
    </row>
    <row r="38" spans="2:9" s="129" customFormat="1" ht="13.15">
      <c r="B38" s="196"/>
      <c r="C38" s="360"/>
      <c r="D38" s="1057"/>
      <c r="E38" s="758"/>
      <c r="F38" s="758"/>
      <c r="G38" s="758"/>
      <c r="H38" s="975"/>
      <c r="I38" s="975"/>
    </row>
    <row r="39" spans="2:9" s="129" customFormat="1" ht="13.15">
      <c r="B39" s="133" t="s">
        <v>92</v>
      </c>
      <c r="C39" s="976">
        <f>SUM(C35:C37)</f>
        <v>1626843.0100000002</v>
      </c>
      <c r="D39" s="976"/>
      <c r="E39" s="759"/>
      <c r="F39" s="759"/>
      <c r="G39" s="759"/>
      <c r="H39" s="977"/>
      <c r="I39" s="977"/>
    </row>
    <row r="40" spans="2:9" ht="13.15">
      <c r="B40" s="133"/>
      <c r="C40" s="358"/>
      <c r="D40" s="976"/>
      <c r="E40" s="760"/>
      <c r="F40" s="760"/>
      <c r="G40" s="760"/>
      <c r="H40" s="978"/>
      <c r="I40" s="978"/>
    </row>
    <row r="41" spans="2:9">
      <c r="B41" s="135"/>
      <c r="C41" s="356"/>
      <c r="D41" s="678"/>
      <c r="E41" s="761"/>
      <c r="F41" s="761"/>
      <c r="G41" s="761"/>
      <c r="H41" s="979"/>
      <c r="I41" s="979"/>
    </row>
    <row r="42" spans="2:9" ht="13.5" thickBot="1">
      <c r="B42" s="754"/>
      <c r="C42" s="755"/>
      <c r="D42" s="1058"/>
      <c r="E42" s="762"/>
      <c r="F42" s="762"/>
      <c r="G42" s="762"/>
      <c r="H42" s="980"/>
      <c r="I42" s="980"/>
    </row>
    <row r="43" spans="2:9" ht="28.5" customHeight="1">
      <c r="B43" s="692"/>
      <c r="C43" s="244"/>
      <c r="D43" s="244"/>
      <c r="E43" s="683"/>
      <c r="F43" s="683"/>
      <c r="G43" s="683"/>
      <c r="H43" s="683"/>
      <c r="I43" s="683"/>
    </row>
    <row r="44" spans="2:9" ht="13.5" customHeight="1">
      <c r="B44" s="1356"/>
      <c r="C44" s="675"/>
      <c r="D44" s="675"/>
      <c r="E44" s="963"/>
      <c r="F44" s="676"/>
      <c r="G44" s="676"/>
      <c r="H44" s="676"/>
      <c r="I44" s="676"/>
    </row>
    <row r="45" spans="2:9">
      <c r="B45" s="1358"/>
      <c r="C45" s="785"/>
      <c r="D45" s="785"/>
      <c r="E45" s="677"/>
      <c r="F45" s="677"/>
      <c r="G45" s="677"/>
      <c r="H45" s="677"/>
      <c r="I45" s="677"/>
    </row>
    <row r="46" spans="2:9">
      <c r="B46" s="1358"/>
      <c r="C46" s="237"/>
      <c r="D46" s="237"/>
      <c r="E46" s="677"/>
      <c r="F46" s="677"/>
      <c r="G46" s="677"/>
      <c r="H46" s="677"/>
      <c r="I46" s="677"/>
    </row>
    <row r="47" spans="2:9">
      <c r="B47" s="1356"/>
      <c r="C47" s="237"/>
      <c r="D47" s="237"/>
      <c r="E47" s="677"/>
      <c r="F47" s="677"/>
      <c r="G47" s="677"/>
      <c r="H47" s="677"/>
      <c r="I47" s="677"/>
    </row>
    <row r="48" spans="2:9">
      <c r="B48" s="1361"/>
      <c r="C48" s="237"/>
      <c r="D48" s="237"/>
      <c r="E48" s="677"/>
      <c r="F48" s="677"/>
      <c r="G48" s="677"/>
      <c r="H48" s="677"/>
      <c r="I48" s="677"/>
    </row>
    <row r="49" spans="2:9" ht="13.5" customHeight="1">
      <c r="B49" s="141"/>
      <c r="C49" s="234"/>
      <c r="D49" s="234"/>
      <c r="E49" s="674"/>
      <c r="F49" s="674"/>
      <c r="G49" s="674"/>
      <c r="H49" s="674"/>
      <c r="I49" s="674"/>
    </row>
    <row r="50" spans="2:9" ht="6" customHeight="1">
      <c r="B50" s="146"/>
      <c r="C50" s="234"/>
      <c r="D50" s="234"/>
      <c r="E50" s="674"/>
      <c r="F50" s="674"/>
      <c r="G50" s="674"/>
      <c r="H50" s="674"/>
      <c r="I50" s="674"/>
    </row>
    <row r="51" spans="2:9" ht="13.5" customHeight="1">
      <c r="B51" s="679"/>
      <c r="C51" s="234"/>
      <c r="D51" s="234"/>
      <c r="E51" s="674"/>
      <c r="F51" s="674"/>
      <c r="G51" s="674"/>
      <c r="H51" s="674"/>
      <c r="I51" s="674"/>
    </row>
    <row r="52" spans="2:9" ht="6" customHeight="1">
      <c r="B52" s="135"/>
      <c r="C52" s="678"/>
      <c r="D52" s="678"/>
      <c r="E52" s="127"/>
      <c r="F52" s="127"/>
      <c r="G52" s="127"/>
      <c r="H52" s="127"/>
      <c r="I52" s="127"/>
    </row>
    <row r="53" spans="2:9" ht="13.15">
      <c r="B53" s="679"/>
      <c r="C53" s="237"/>
      <c r="D53" s="237"/>
      <c r="E53" s="87"/>
      <c r="F53" s="87"/>
      <c r="G53" s="87"/>
      <c r="H53" s="87"/>
      <c r="I53" s="87"/>
    </row>
    <row r="54" spans="2:9" ht="13.15">
      <c r="B54" s="133"/>
      <c r="C54" s="237"/>
      <c r="D54" s="237"/>
      <c r="E54" s="681"/>
      <c r="F54" s="681"/>
      <c r="G54" s="681"/>
      <c r="H54" s="681"/>
      <c r="I54" s="681"/>
    </row>
    <row r="55" spans="2:9" ht="13.15">
      <c r="B55" s="133"/>
      <c r="C55" s="237"/>
      <c r="D55" s="237"/>
      <c r="E55" s="680"/>
      <c r="F55" s="680"/>
      <c r="G55" s="680"/>
      <c r="H55" s="680"/>
      <c r="I55" s="680"/>
    </row>
    <row r="56" spans="2:9" ht="12.75" customHeight="1">
      <c r="B56" s="786"/>
      <c r="C56" s="787"/>
      <c r="D56" s="787"/>
      <c r="E56" s="671"/>
      <c r="F56" s="671"/>
      <c r="G56" s="671"/>
      <c r="H56" s="671"/>
      <c r="I56" s="671"/>
    </row>
    <row r="57" spans="2:9" ht="34.5" customHeight="1" thickBot="1">
      <c r="B57" s="788"/>
      <c r="C57" s="789"/>
      <c r="D57" s="789"/>
      <c r="E57" s="138"/>
      <c r="F57" s="138"/>
      <c r="G57" s="138"/>
      <c r="H57" s="138"/>
      <c r="I57" s="138"/>
    </row>
    <row r="58" spans="2:9">
      <c r="E58" s="127"/>
      <c r="F58" s="127"/>
      <c r="G58" s="127"/>
      <c r="H58" s="127"/>
      <c r="I58" s="127"/>
    </row>
    <row r="59" spans="2:9" ht="13.5">
      <c r="B59" s="769"/>
      <c r="C59" s="280"/>
      <c r="D59" s="280"/>
      <c r="E59" s="235"/>
      <c r="F59" s="235"/>
      <c r="G59" s="235"/>
      <c r="H59" s="235"/>
      <c r="I59" s="235"/>
    </row>
    <row r="60" spans="2:9" ht="13.5">
      <c r="B60" s="770"/>
      <c r="E60" s="127"/>
      <c r="F60" s="127"/>
      <c r="G60" s="127"/>
      <c r="H60" s="127"/>
      <c r="I60" s="127"/>
    </row>
    <row r="61" spans="2:9" ht="13.5">
      <c r="B61" s="770"/>
      <c r="E61" s="127"/>
      <c r="F61" s="127"/>
      <c r="G61" s="127"/>
      <c r="H61" s="127"/>
      <c r="I61" s="127"/>
    </row>
    <row r="62" spans="2:9" ht="13.5">
      <c r="B62" s="770"/>
      <c r="C62" s="1362"/>
      <c r="D62" s="1362"/>
    </row>
    <row r="63" spans="2:9" s="37" customFormat="1">
      <c r="C63" s="1362"/>
      <c r="D63" s="1362"/>
      <c r="E63" s="68"/>
      <c r="F63" s="68"/>
      <c r="G63" s="68"/>
      <c r="H63" s="68"/>
      <c r="I63" s="68"/>
    </row>
    <row r="64" spans="2:9">
      <c r="C64" s="1363"/>
      <c r="D64" s="1363"/>
    </row>
    <row r="65" spans="3:9">
      <c r="C65" s="1363"/>
      <c r="D65" s="1363"/>
    </row>
    <row r="66" spans="3:9">
      <c r="C66" s="1364"/>
      <c r="D66" s="1364"/>
    </row>
    <row r="67" spans="3:9">
      <c r="C67" s="1364"/>
      <c r="D67" s="1364"/>
    </row>
    <row r="68" spans="3:9">
      <c r="C68" s="1364"/>
      <c r="D68" s="1364"/>
    </row>
    <row r="69" spans="3:9" ht="13.15">
      <c r="C69" s="665"/>
      <c r="D69" s="665"/>
    </row>
    <row r="70" spans="3:9">
      <c r="C70" s="1365"/>
      <c r="D70" s="1365"/>
    </row>
    <row r="71" spans="3:9" ht="13.15">
      <c r="C71" s="665"/>
      <c r="D71" s="665"/>
    </row>
    <row r="72" spans="3:9">
      <c r="C72" s="1364"/>
      <c r="D72" s="1364"/>
    </row>
    <row r="73" spans="3:9" ht="13.15">
      <c r="C73" s="666"/>
      <c r="D73" s="666"/>
    </row>
    <row r="74" spans="3:9">
      <c r="C74" s="667"/>
      <c r="D74" s="667"/>
    </row>
    <row r="75" spans="3:9" ht="13.15">
      <c r="C75" s="665"/>
      <c r="D75" s="665"/>
    </row>
    <row r="76" spans="3:9">
      <c r="C76" s="668"/>
      <c r="D76" s="668"/>
    </row>
    <row r="77" spans="3:9">
      <c r="C77" s="1364"/>
      <c r="D77" s="1364"/>
    </row>
    <row r="78" spans="3:9">
      <c r="C78" s="669"/>
      <c r="D78" s="669"/>
    </row>
    <row r="79" spans="3:9">
      <c r="C79" s="670"/>
      <c r="D79" s="670"/>
      <c r="E79"/>
      <c r="F79"/>
      <c r="G79"/>
      <c r="H79"/>
      <c r="I79"/>
    </row>
    <row r="80" spans="3:9">
      <c r="C80" s="671"/>
      <c r="D80" s="671"/>
      <c r="E80"/>
      <c r="F80"/>
      <c r="G80"/>
      <c r="H80"/>
      <c r="I80"/>
    </row>
    <row r="81" spans="3:9">
      <c r="C81" s="671"/>
      <c r="D81" s="671"/>
      <c r="E81"/>
      <c r="F81"/>
      <c r="G81"/>
      <c r="H81"/>
      <c r="I81"/>
    </row>
  </sheetData>
  <phoneticPr fontId="57" type="noConversion"/>
  <pageMargins left="0.75" right="0.75" top="1" bottom="1" header="0.5" footer="0.5"/>
  <pageSetup paperSize="3" scale="7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123"/>
  <sheetViews>
    <sheetView topLeftCell="D52" workbookViewId="0">
      <selection activeCell="I24" sqref="I24"/>
    </sheetView>
  </sheetViews>
  <sheetFormatPr defaultColWidth="8.86328125" defaultRowHeight="12.75"/>
  <cols>
    <col min="1" max="1" width="7.3984375" customWidth="1"/>
    <col min="2" max="2" width="42.73046875" customWidth="1"/>
    <col min="3" max="3" width="20.265625" customWidth="1"/>
    <col min="4" max="4" width="16.1328125" style="71" customWidth="1"/>
    <col min="5" max="5" width="22" style="71" customWidth="1"/>
    <col min="6" max="6" width="20.3984375" customWidth="1"/>
    <col min="7" max="7" width="17.1328125" customWidth="1"/>
    <col min="8" max="8" width="19" customWidth="1"/>
    <col min="9" max="9" width="23.73046875" style="70" customWidth="1"/>
    <col min="10" max="10" width="16.1328125" customWidth="1"/>
    <col min="11" max="11" width="14" hidden="1" customWidth="1"/>
    <col min="12" max="12" width="15.86328125" style="37" hidden="1" customWidth="1"/>
    <col min="13" max="13" width="16.3984375" hidden="1" customWidth="1"/>
    <col min="14" max="14" width="20.73046875" customWidth="1"/>
    <col min="15" max="15" width="15.1328125" customWidth="1"/>
  </cols>
  <sheetData>
    <row r="2" spans="2:13" ht="22.9" thickBot="1">
      <c r="B2" s="616" t="str">
        <f>'[5]2013-14 Student Rev Projections'!$B$2</f>
        <v>2013-14 A.S.I. Revenue Projections</v>
      </c>
      <c r="F2" s="925"/>
      <c r="M2" s="47"/>
    </row>
    <row r="3" spans="2:13" ht="27.75">
      <c r="B3" s="295" t="s">
        <v>39</v>
      </c>
      <c r="C3" s="366" t="s">
        <v>29</v>
      </c>
      <c r="D3" s="391" t="s">
        <v>29</v>
      </c>
      <c r="E3" s="366" t="s">
        <v>40</v>
      </c>
      <c r="F3" s="366"/>
      <c r="G3" s="395" t="s">
        <v>9</v>
      </c>
      <c r="H3" s="396" t="s">
        <v>29</v>
      </c>
      <c r="I3" s="400" t="s">
        <v>31</v>
      </c>
      <c r="J3" s="46"/>
      <c r="L3" s="46"/>
      <c r="M3" s="47"/>
    </row>
    <row r="4" spans="2:13" ht="15">
      <c r="B4" s="296" t="s">
        <v>10</v>
      </c>
      <c r="C4" s="367" t="s">
        <v>32</v>
      </c>
      <c r="D4" s="392" t="s">
        <v>6</v>
      </c>
      <c r="E4" s="367" t="s">
        <v>42</v>
      </c>
      <c r="F4" s="367"/>
      <c r="G4" s="367" t="s">
        <v>14</v>
      </c>
      <c r="H4" s="397" t="s">
        <v>12</v>
      </c>
      <c r="I4" s="401" t="s">
        <v>34</v>
      </c>
      <c r="J4" s="46"/>
      <c r="L4" s="46"/>
      <c r="M4" s="47"/>
    </row>
    <row r="5" spans="2:13" s="53" customFormat="1" ht="11.65">
      <c r="B5" s="387"/>
      <c r="C5" s="389"/>
      <c r="D5" s="393"/>
      <c r="E5" s="389"/>
      <c r="F5" s="368"/>
      <c r="G5" s="389" t="s">
        <v>36</v>
      </c>
      <c r="H5" s="398" t="s">
        <v>45</v>
      </c>
      <c r="I5" s="389" t="s">
        <v>38</v>
      </c>
      <c r="J5" s="54"/>
      <c r="L5" s="54"/>
      <c r="M5" s="47"/>
    </row>
    <row r="6" spans="2:13" s="53" customFormat="1" ht="12" thickBot="1">
      <c r="B6" s="388"/>
      <c r="C6" s="390" t="s">
        <v>17</v>
      </c>
      <c r="D6" s="394" t="s">
        <v>18</v>
      </c>
      <c r="E6" s="390" t="s">
        <v>46</v>
      </c>
      <c r="F6" s="369"/>
      <c r="G6" s="390"/>
      <c r="H6" s="399"/>
      <c r="I6" s="390"/>
      <c r="J6" s="54"/>
      <c r="L6" s="54"/>
      <c r="M6" s="47"/>
    </row>
    <row r="7" spans="2:13" ht="13.15" thickBot="1">
      <c r="C7" s="56"/>
      <c r="D7" s="80"/>
      <c r="E7" s="56"/>
      <c r="F7" s="81"/>
      <c r="G7" s="56"/>
      <c r="H7" s="82"/>
      <c r="I7" s="56"/>
      <c r="J7" s="56"/>
      <c r="L7" s="58"/>
      <c r="M7" s="47"/>
    </row>
    <row r="8" spans="2:13" ht="15">
      <c r="B8" s="824" t="str">
        <f>'[5]2013-14 Student Rev Projections'!$B$8</f>
        <v>Summer 2013 Actual</v>
      </c>
      <c r="C8" s="825">
        <f>'[5]2013-14 Student Rev Projections'!$C$8</f>
        <v>1594</v>
      </c>
      <c r="D8" s="826">
        <f>'[5]2013-14 Student Rev Projections'!$D$8</f>
        <v>32</v>
      </c>
      <c r="E8" s="827">
        <f>+C8-D8</f>
        <v>1562</v>
      </c>
      <c r="F8" s="828">
        <v>0</v>
      </c>
      <c r="G8" s="829">
        <v>17.25</v>
      </c>
      <c r="H8" s="830">
        <f>+E8*G8</f>
        <v>26944.5</v>
      </c>
      <c r="I8" s="830">
        <f>+H8</f>
        <v>26944.5</v>
      </c>
      <c r="J8" s="61"/>
      <c r="L8" s="58"/>
      <c r="M8" s="47"/>
    </row>
    <row r="9" spans="2:13" ht="15">
      <c r="B9" s="831" t="str">
        <f>'[5]2013-14 Student Rev Projections'!$B$9</f>
        <v>Fall 2013 Actual</v>
      </c>
      <c r="C9" s="832">
        <f>'[5]2013-14 Student Rev Projections'!$C$9</f>
        <v>23258</v>
      </c>
      <c r="D9" s="833">
        <f>'[5]2013-14 Student Rev Projections'!$D$9</f>
        <v>199</v>
      </c>
      <c r="E9" s="834">
        <f>+C9-D9</f>
        <v>23059</v>
      </c>
      <c r="F9" s="835">
        <v>0</v>
      </c>
      <c r="G9" s="829">
        <v>19.25</v>
      </c>
      <c r="H9" s="830">
        <f>+E9*G9</f>
        <v>443885.75</v>
      </c>
      <c r="I9" s="830">
        <f>+H9</f>
        <v>443885.75</v>
      </c>
      <c r="J9" s="61"/>
      <c r="L9" s="58"/>
      <c r="M9" s="47"/>
    </row>
    <row r="10" spans="2:13" ht="15">
      <c r="B10" s="831" t="str">
        <f>'[5]2013-14 Student Rev Projections'!$B$10</f>
        <v>Winter 2014 Projected</v>
      </c>
      <c r="C10" s="832">
        <f>'[5]2013-14 Student Rev Projections'!$C$10</f>
        <v>19768</v>
      </c>
      <c r="D10" s="833">
        <f>'[5]2013-14 Student Rev Projections'!$D$10</f>
        <v>226</v>
      </c>
      <c r="E10" s="834">
        <f>+C10-D10</f>
        <v>19542</v>
      </c>
      <c r="F10" s="835">
        <v>0</v>
      </c>
      <c r="G10" s="829">
        <v>17.25</v>
      </c>
      <c r="H10" s="830">
        <f>+E10*G10</f>
        <v>337099.5</v>
      </c>
      <c r="I10" s="830">
        <f>+H10</f>
        <v>337099.5</v>
      </c>
      <c r="J10" s="61"/>
      <c r="L10" s="58"/>
      <c r="M10" s="47"/>
    </row>
    <row r="11" spans="2:13" ht="15.4" thickBot="1">
      <c r="B11" s="836" t="str">
        <f>'[5]2013-14 Student Rev Projections'!$B$11</f>
        <v>Spring 2014 Projected</v>
      </c>
      <c r="C11" s="837">
        <f>'[5]2013-14 Student Rev Projections'!$C$11</f>
        <v>19237</v>
      </c>
      <c r="D11" s="838">
        <f>'[5]2013-14 Student Rev Projections'!$D$11</f>
        <v>647</v>
      </c>
      <c r="E11" s="839">
        <f>+C11-D11</f>
        <v>18590</v>
      </c>
      <c r="F11" s="840">
        <v>0</v>
      </c>
      <c r="G11" s="829">
        <v>17.25</v>
      </c>
      <c r="H11" s="830">
        <f>+E11*G11</f>
        <v>320677.5</v>
      </c>
      <c r="I11" s="830">
        <f>+H11</f>
        <v>320677.5</v>
      </c>
      <c r="J11" s="61"/>
      <c r="L11" s="58"/>
      <c r="M11" s="47"/>
    </row>
    <row r="12" spans="2:13" ht="15">
      <c r="B12" s="841"/>
      <c r="C12" s="172"/>
      <c r="D12" s="842"/>
      <c r="E12" s="843"/>
      <c r="F12" s="172"/>
      <c r="G12" s="829"/>
      <c r="H12" s="830"/>
      <c r="I12" s="830"/>
      <c r="J12" s="61"/>
      <c r="L12" s="58"/>
      <c r="M12" s="47"/>
    </row>
    <row r="13" spans="2:13" ht="15">
      <c r="B13" s="841" t="s">
        <v>115</v>
      </c>
      <c r="C13" s="844">
        <f>+SUM(C8:C11)</f>
        <v>63857</v>
      </c>
      <c r="D13" s="842">
        <f>SUM(D8:D11)</f>
        <v>1104</v>
      </c>
      <c r="E13" s="845">
        <f>C13-D13</f>
        <v>62753</v>
      </c>
      <c r="F13" s="172"/>
      <c r="G13" s="829">
        <f>SUM(H8:H11)/C13</f>
        <v>17.673978577133283</v>
      </c>
      <c r="H13" s="830">
        <f>+G13*C13</f>
        <v>1128607.25</v>
      </c>
      <c r="I13" s="830">
        <f>+H13</f>
        <v>1128607.25</v>
      </c>
      <c r="J13" s="61"/>
      <c r="L13" s="68"/>
      <c r="M13" s="47"/>
    </row>
    <row r="14" spans="2:13" ht="13.15" thickBot="1">
      <c r="B14" s="60"/>
      <c r="M14" s="47"/>
    </row>
    <row r="15" spans="2:13" ht="27.75">
      <c r="B15" s="287" t="s">
        <v>28</v>
      </c>
      <c r="C15" s="366" t="s">
        <v>29</v>
      </c>
      <c r="D15" s="402" t="s">
        <v>29</v>
      </c>
      <c r="E15" s="366" t="s">
        <v>30</v>
      </c>
      <c r="F15" s="403" t="s">
        <v>9</v>
      </c>
      <c r="G15" s="366" t="s">
        <v>29</v>
      </c>
      <c r="H15" s="400" t="s">
        <v>31</v>
      </c>
      <c r="J15" s="46"/>
      <c r="L15" s="46"/>
      <c r="M15" s="47"/>
    </row>
    <row r="16" spans="2:13" ht="15">
      <c r="B16" s="290" t="s">
        <v>10</v>
      </c>
      <c r="C16" s="367" t="s">
        <v>32</v>
      </c>
      <c r="D16" s="404" t="s">
        <v>6</v>
      </c>
      <c r="E16" s="367" t="s">
        <v>33</v>
      </c>
      <c r="F16" s="405" t="s">
        <v>14</v>
      </c>
      <c r="G16" s="367" t="s">
        <v>12</v>
      </c>
      <c r="H16" s="401" t="s">
        <v>34</v>
      </c>
      <c r="J16" s="46"/>
      <c r="L16" s="46"/>
      <c r="M16" s="47"/>
    </row>
    <row r="17" spans="2:13" s="53" customFormat="1" ht="12" thickBot="1">
      <c r="B17" s="406"/>
      <c r="C17" s="390" t="s">
        <v>17</v>
      </c>
      <c r="D17" s="407" t="s">
        <v>18</v>
      </c>
      <c r="E17" s="390" t="s">
        <v>35</v>
      </c>
      <c r="F17" s="408" t="s">
        <v>36</v>
      </c>
      <c r="G17" s="390" t="s">
        <v>37</v>
      </c>
      <c r="H17" s="390" t="s">
        <v>38</v>
      </c>
      <c r="I17" s="72"/>
      <c r="J17" s="966"/>
      <c r="L17" s="54"/>
      <c r="M17" s="47"/>
    </row>
    <row r="18" spans="2:13">
      <c r="C18" s="56"/>
      <c r="D18" s="57"/>
      <c r="E18" s="56"/>
      <c r="F18" s="56"/>
      <c r="G18" s="56"/>
      <c r="H18" s="56"/>
      <c r="J18" s="965"/>
      <c r="L18" s="58"/>
      <c r="M18" s="47"/>
    </row>
    <row r="19" spans="2:13" ht="15">
      <c r="B19" s="841" t="str">
        <f>B8</f>
        <v>Summer 2013 Actual</v>
      </c>
      <c r="C19" s="846">
        <f>E8</f>
        <v>1562</v>
      </c>
      <c r="D19" s="847">
        <f>D8/C8</f>
        <v>2.0075282308657464E-2</v>
      </c>
      <c r="E19" s="843">
        <f>D8</f>
        <v>32</v>
      </c>
      <c r="F19" s="829">
        <v>1</v>
      </c>
      <c r="G19" s="848">
        <f>F19*E19</f>
        <v>32</v>
      </c>
      <c r="H19" s="848">
        <f>+G19</f>
        <v>32</v>
      </c>
      <c r="J19" s="83"/>
      <c r="L19" s="58"/>
      <c r="M19" s="47"/>
    </row>
    <row r="20" spans="2:13" ht="15">
      <c r="B20" s="841" t="str">
        <f>B9</f>
        <v>Fall 2013 Actual</v>
      </c>
      <c r="C20" s="846">
        <f>E9</f>
        <v>23059</v>
      </c>
      <c r="D20" s="847">
        <f>D9/C9</f>
        <v>8.5561957176025459E-3</v>
      </c>
      <c r="E20" s="843">
        <f>D9</f>
        <v>199</v>
      </c>
      <c r="F20" s="829">
        <v>1</v>
      </c>
      <c r="G20" s="848">
        <f>F20*E20</f>
        <v>199</v>
      </c>
      <c r="H20" s="848">
        <f>+G20</f>
        <v>199</v>
      </c>
      <c r="J20" s="61"/>
      <c r="L20" s="58"/>
      <c r="M20" s="47"/>
    </row>
    <row r="21" spans="2:13" ht="15">
      <c r="B21" s="841" t="str">
        <f>B10</f>
        <v>Winter 2014 Projected</v>
      </c>
      <c r="C21" s="846">
        <f>E10</f>
        <v>19542</v>
      </c>
      <c r="D21" s="847">
        <f>D10/C10</f>
        <v>1.1432618373128289E-2</v>
      </c>
      <c r="E21" s="843">
        <f>D10</f>
        <v>226</v>
      </c>
      <c r="F21" s="829">
        <v>1</v>
      </c>
      <c r="G21" s="848">
        <f>F21*E21</f>
        <v>226</v>
      </c>
      <c r="H21" s="848">
        <f>+G21</f>
        <v>226</v>
      </c>
      <c r="J21" s="61"/>
      <c r="L21" s="58"/>
      <c r="M21" s="47"/>
    </row>
    <row r="22" spans="2:13" ht="15">
      <c r="B22" s="841" t="str">
        <f>B33</f>
        <v>Spring 2014 Projected</v>
      </c>
      <c r="C22" s="846">
        <f>E11</f>
        <v>18590</v>
      </c>
      <c r="D22" s="847">
        <f>D11/C11</f>
        <v>3.3633102874668606E-2</v>
      </c>
      <c r="E22" s="843">
        <f>D11</f>
        <v>647</v>
      </c>
      <c r="F22" s="829">
        <v>1</v>
      </c>
      <c r="G22" s="848">
        <f>F22*E22</f>
        <v>647</v>
      </c>
      <c r="H22" s="848">
        <f>+G22</f>
        <v>647</v>
      </c>
      <c r="J22" s="61"/>
      <c r="L22" s="58"/>
      <c r="M22" s="47"/>
    </row>
    <row r="23" spans="2:13" ht="15">
      <c r="B23" s="841"/>
      <c r="C23" s="172"/>
      <c r="D23" s="847"/>
      <c r="E23" s="843"/>
      <c r="F23" s="829"/>
      <c r="G23" s="848"/>
      <c r="H23" s="848"/>
      <c r="J23" s="61"/>
      <c r="L23" s="58"/>
      <c r="M23" s="47"/>
    </row>
    <row r="24" spans="2:13" ht="15">
      <c r="B24" s="841" t="str">
        <f>B13</f>
        <v>Projected FY</v>
      </c>
      <c r="C24" s="844">
        <f>+SUM(C19:C22)</f>
        <v>62753</v>
      </c>
      <c r="D24" s="847">
        <f>+AVERAGE(D19:D22)</f>
        <v>1.8424299818514227E-2</v>
      </c>
      <c r="E24" s="845">
        <f>+SUM(E19:E22)</f>
        <v>1104</v>
      </c>
      <c r="F24" s="829">
        <v>1</v>
      </c>
      <c r="G24" s="848">
        <f>F24*E24</f>
        <v>1104</v>
      </c>
      <c r="H24" s="848">
        <f>+G24</f>
        <v>1104</v>
      </c>
      <c r="J24" s="61"/>
      <c r="L24" s="68"/>
      <c r="M24" s="47"/>
    </row>
    <row r="25" spans="2:13" ht="13.15" thickBot="1">
      <c r="D25" s="69"/>
      <c r="E25"/>
      <c r="M25" s="47"/>
    </row>
    <row r="26" spans="2:13" ht="27.75">
      <c r="B26" s="287" t="s">
        <v>5</v>
      </c>
      <c r="C26" s="391" t="s">
        <v>6</v>
      </c>
      <c r="D26" s="660" t="s">
        <v>7</v>
      </c>
      <c r="E26" s="366" t="s">
        <v>8</v>
      </c>
      <c r="F26" s="409" t="s">
        <v>117</v>
      </c>
      <c r="G26" s="409" t="s">
        <v>117</v>
      </c>
      <c r="H26" s="366" t="s">
        <v>8</v>
      </c>
      <c r="I26" s="1408"/>
      <c r="J26" s="44"/>
      <c r="K26" s="44"/>
      <c r="L26" s="46"/>
      <c r="M26" s="47"/>
    </row>
    <row r="27" spans="2:13" ht="15">
      <c r="B27" s="290" t="s">
        <v>10</v>
      </c>
      <c r="C27" s="367" t="s">
        <v>11</v>
      </c>
      <c r="D27" s="661" t="s">
        <v>11</v>
      </c>
      <c r="E27" s="367" t="s">
        <v>12</v>
      </c>
      <c r="F27" s="405" t="s">
        <v>118</v>
      </c>
      <c r="G27" s="405" t="s">
        <v>119</v>
      </c>
      <c r="H27" s="367" t="s">
        <v>12</v>
      </c>
      <c r="I27" s="43" t="s">
        <v>13</v>
      </c>
      <c r="J27" s="43"/>
      <c r="K27" s="43"/>
      <c r="L27" s="49"/>
      <c r="M27" s="47"/>
    </row>
    <row r="28" spans="2:13" s="53" customFormat="1" ht="12" thickBot="1">
      <c r="B28" s="406"/>
      <c r="C28" s="390" t="s">
        <v>17</v>
      </c>
      <c r="D28" s="662" t="s">
        <v>18</v>
      </c>
      <c r="E28" s="390" t="s">
        <v>36</v>
      </c>
      <c r="F28" s="408" t="s">
        <v>120</v>
      </c>
      <c r="G28" s="408" t="s">
        <v>121</v>
      </c>
      <c r="H28" s="390" t="s">
        <v>122</v>
      </c>
      <c r="I28" s="54" t="s">
        <v>18</v>
      </c>
      <c r="J28" s="54"/>
      <c r="K28" s="54"/>
      <c r="L28" s="54"/>
      <c r="M28" s="47"/>
    </row>
    <row r="29" spans="2:13" ht="13.15" thickBot="1">
      <c r="C29" s="56"/>
      <c r="D29" s="57"/>
      <c r="E29" s="663"/>
      <c r="F29" s="56"/>
      <c r="G29" s="56"/>
      <c r="H29" s="56"/>
      <c r="I29" s="58"/>
      <c r="J29" s="58"/>
      <c r="K29" s="58"/>
      <c r="L29" s="58"/>
      <c r="M29" s="47"/>
    </row>
    <row r="30" spans="2:13" ht="15">
      <c r="B30" s="849" t="str">
        <f>B19</f>
        <v>Summer 2013 Actual</v>
      </c>
      <c r="C30" s="850">
        <f>+H19</f>
        <v>32</v>
      </c>
      <c r="D30" s="850">
        <f>I8</f>
        <v>26944.5</v>
      </c>
      <c r="E30" s="851">
        <f>SUM(C30:D30)</f>
        <v>26976.5</v>
      </c>
      <c r="F30" s="850">
        <v>102380</v>
      </c>
      <c r="G30" s="852">
        <f>F30-E30</f>
        <v>75403.5</v>
      </c>
      <c r="H30" s="851">
        <f>E30+G30</f>
        <v>102380</v>
      </c>
      <c r="I30" s="62"/>
      <c r="J30" s="64"/>
      <c r="K30" s="64"/>
      <c r="L30" s="58"/>
      <c r="M30" s="47"/>
    </row>
    <row r="31" spans="2:13" ht="15">
      <c r="B31" s="853" t="str">
        <f>B20</f>
        <v>Fall 2013 Actual</v>
      </c>
      <c r="C31" s="854">
        <f>+H20</f>
        <v>199</v>
      </c>
      <c r="D31" s="854">
        <f>I9</f>
        <v>443885.75</v>
      </c>
      <c r="E31" s="855">
        <f>SUM(C31:D31)</f>
        <v>444084.75</v>
      </c>
      <c r="F31" s="854">
        <v>417353</v>
      </c>
      <c r="G31" s="856">
        <f>F31-E31</f>
        <v>-26731.75</v>
      </c>
      <c r="H31" s="855">
        <f>E31+G31</f>
        <v>417353</v>
      </c>
      <c r="I31" s="62"/>
      <c r="J31" s="64"/>
      <c r="K31" s="281"/>
      <c r="L31" s="58"/>
      <c r="M31" s="47"/>
    </row>
    <row r="32" spans="2:13" ht="15">
      <c r="B32" s="853" t="str">
        <f>B21</f>
        <v>Winter 2014 Projected</v>
      </c>
      <c r="C32" s="854">
        <f>+H21</f>
        <v>226</v>
      </c>
      <c r="D32" s="854">
        <f>I10</f>
        <v>337099.5</v>
      </c>
      <c r="E32" s="855">
        <f>SUM(C32:D32)</f>
        <v>337325.5</v>
      </c>
      <c r="F32" s="854">
        <v>339824</v>
      </c>
      <c r="G32" s="856">
        <f>F32-E32</f>
        <v>2498.5</v>
      </c>
      <c r="H32" s="855">
        <f>E32+G32</f>
        <v>339824</v>
      </c>
      <c r="I32" s="62"/>
      <c r="J32" s="64"/>
      <c r="K32" s="281"/>
      <c r="L32" s="58"/>
      <c r="M32" s="47"/>
    </row>
    <row r="33" spans="2:15" ht="15">
      <c r="B33" s="857" t="str">
        <f>B11</f>
        <v>Spring 2014 Projected</v>
      </c>
      <c r="C33" s="858">
        <f>+H22</f>
        <v>647</v>
      </c>
      <c r="D33" s="858">
        <f>I11</f>
        <v>320677.5</v>
      </c>
      <c r="E33" s="859">
        <f>SUM(C33:D33)</f>
        <v>321324.5</v>
      </c>
      <c r="F33" s="858">
        <v>326106</v>
      </c>
      <c r="G33" s="860">
        <f>F33-E33</f>
        <v>4781.5</v>
      </c>
      <c r="H33" s="859">
        <f>E33+G33</f>
        <v>326106</v>
      </c>
      <c r="I33" s="62"/>
      <c r="J33" s="64"/>
      <c r="K33" s="281"/>
      <c r="L33" s="58"/>
      <c r="M33" s="47"/>
    </row>
    <row r="34" spans="2:15" ht="15">
      <c r="B34" s="861"/>
      <c r="C34" s="858"/>
      <c r="D34" s="858"/>
      <c r="E34" s="859"/>
      <c r="F34" s="858"/>
      <c r="G34" s="860"/>
      <c r="H34" s="859"/>
      <c r="I34" s="66"/>
      <c r="J34" s="66"/>
      <c r="K34" s="281"/>
      <c r="L34" s="58"/>
      <c r="M34" s="47"/>
    </row>
    <row r="35" spans="2:15" ht="15.4" thickBot="1">
      <c r="B35" s="862" t="str">
        <f>B24</f>
        <v>Projected FY</v>
      </c>
      <c r="C35" s="863">
        <f>+SUM(C30:C33)</f>
        <v>1104</v>
      </c>
      <c r="D35" s="863">
        <f>+SUM(D30:D33)</f>
        <v>1128607.25</v>
      </c>
      <c r="E35" s="864">
        <f>SUM(E30:E33)</f>
        <v>1129711.25</v>
      </c>
      <c r="F35" s="863">
        <f>SUM(F30:F33)</f>
        <v>1185663</v>
      </c>
      <c r="G35" s="865">
        <f>SUM(G30:G33)</f>
        <v>55951.75</v>
      </c>
      <c r="H35" s="864">
        <f>SUM(H30:H33)</f>
        <v>1185663</v>
      </c>
      <c r="I35" s="66"/>
      <c r="J35" s="66"/>
      <c r="K35" s="66"/>
      <c r="L35" s="68"/>
      <c r="M35" s="128"/>
    </row>
    <row r="36" spans="2:15">
      <c r="B36" s="60"/>
      <c r="D36" s="84"/>
      <c r="E36" s="75"/>
      <c r="G36" s="61"/>
      <c r="H36" s="248"/>
      <c r="I36" s="248"/>
      <c r="J36" s="61"/>
      <c r="L36" s="58"/>
      <c r="M36" s="47"/>
    </row>
    <row r="37" spans="2:15" ht="15">
      <c r="B37" s="48" t="s">
        <v>51</v>
      </c>
      <c r="C37" s="42"/>
      <c r="D37" s="41"/>
      <c r="E37" s="41"/>
      <c r="F37" s="742"/>
      <c r="L37" s="86"/>
      <c r="M37" s="86"/>
      <c r="N37" s="87"/>
      <c r="O37" s="88"/>
    </row>
    <row r="38" spans="2:15" ht="15">
      <c r="B38" s="50"/>
      <c r="C38" s="42" t="s">
        <v>48</v>
      </c>
      <c r="D38" s="41" t="s">
        <v>49</v>
      </c>
      <c r="E38" s="52"/>
      <c r="F38" s="742"/>
      <c r="L38" s="86"/>
      <c r="M38" s="86"/>
      <c r="N38" s="87"/>
      <c r="O38" s="88"/>
    </row>
    <row r="39" spans="2:15" ht="15.4" thickBot="1">
      <c r="B39" s="743"/>
      <c r="C39" s="42" t="s">
        <v>52</v>
      </c>
      <c r="D39" s="41" t="s">
        <v>53</v>
      </c>
      <c r="E39" s="744"/>
      <c r="F39" s="464"/>
      <c r="L39" s="86"/>
      <c r="M39" s="86"/>
      <c r="N39" s="87"/>
      <c r="O39" s="88"/>
    </row>
    <row r="40" spans="2:15" ht="15.4" thickBot="1">
      <c r="B40" s="841" t="s">
        <v>54</v>
      </c>
      <c r="C40" s="866">
        <v>0.55000000000000004</v>
      </c>
      <c r="D40" s="867">
        <f>D45*0.55</f>
        <v>19563.4395</v>
      </c>
      <c r="E40" s="868"/>
      <c r="F40" s="869"/>
      <c r="G40" s="870" t="str">
        <f>B2</f>
        <v>2013-14 A.S.I. Revenue Projections</v>
      </c>
      <c r="H40" s="871"/>
      <c r="L40" s="86"/>
      <c r="M40" s="86"/>
      <c r="N40" s="87"/>
      <c r="O40" s="88"/>
    </row>
    <row r="41" spans="2:15" ht="15">
      <c r="B41" s="841" t="s">
        <v>55</v>
      </c>
      <c r="C41" s="866">
        <v>0.1</v>
      </c>
      <c r="D41" s="867">
        <f>D45*0.1</f>
        <v>3556.989</v>
      </c>
      <c r="E41" s="868"/>
      <c r="F41" s="872"/>
      <c r="G41" s="873"/>
      <c r="H41" s="874"/>
      <c r="I41" s="92"/>
      <c r="L41" s="86"/>
      <c r="M41" s="86"/>
      <c r="N41" s="87"/>
      <c r="O41" s="88"/>
    </row>
    <row r="42" spans="2:15" ht="15">
      <c r="B42" s="841" t="s">
        <v>56</v>
      </c>
      <c r="C42" s="866">
        <v>0.2</v>
      </c>
      <c r="D42" s="867">
        <f>D45*0.2</f>
        <v>7113.9780000000001</v>
      </c>
      <c r="E42" s="868"/>
      <c r="F42" s="875"/>
      <c r="G42" s="876" t="str">
        <f>G40</f>
        <v>2013-14 A.S.I. Revenue Projections</v>
      </c>
      <c r="H42" s="877">
        <f>H35</f>
        <v>1185663</v>
      </c>
      <c r="I42" s="92"/>
      <c r="L42" s="86"/>
      <c r="M42" s="86"/>
      <c r="N42" s="87"/>
      <c r="O42" s="88"/>
    </row>
    <row r="43" spans="2:15" ht="15.4" thickBot="1">
      <c r="B43" s="841" t="s">
        <v>57</v>
      </c>
      <c r="C43" s="866">
        <v>0.15</v>
      </c>
      <c r="D43" s="867">
        <f>D45*0.15</f>
        <v>5335.4834999999994</v>
      </c>
      <c r="E43" s="868"/>
      <c r="F43" s="878"/>
      <c r="G43" s="879"/>
      <c r="H43" s="880"/>
      <c r="I43" s="92"/>
      <c r="L43" s="86"/>
      <c r="M43" s="86"/>
      <c r="N43" s="87"/>
      <c r="O43" s="88"/>
    </row>
    <row r="44" spans="2:15" ht="15.4" thickTop="1">
      <c r="B44" s="841"/>
      <c r="C44" s="172"/>
      <c r="D44" s="867"/>
      <c r="E44" s="868"/>
      <c r="F44" s="881"/>
      <c r="G44" s="882" t="s">
        <v>118</v>
      </c>
      <c r="H44" s="883">
        <f>SUM(H42:H43)</f>
        <v>1185663</v>
      </c>
      <c r="I44" s="92"/>
      <c r="L44" s="86"/>
      <c r="M44" s="86"/>
      <c r="N44" s="87"/>
      <c r="O44" s="88"/>
    </row>
    <row r="45" spans="2:15" ht="15.4" thickBot="1">
      <c r="B45" s="884" t="s">
        <v>323</v>
      </c>
      <c r="C45" s="844" t="s">
        <v>38</v>
      </c>
      <c r="D45" s="867">
        <f>H45</f>
        <v>35569.89</v>
      </c>
      <c r="E45" s="868"/>
      <c r="F45" s="885"/>
      <c r="G45" s="886" t="s">
        <v>324</v>
      </c>
      <c r="H45" s="887">
        <f>H44*3%</f>
        <v>35569.89</v>
      </c>
      <c r="I45" s="95"/>
      <c r="L45" s="96"/>
      <c r="M45" s="88"/>
      <c r="N45" s="88"/>
      <c r="O45" s="88"/>
    </row>
    <row r="46" spans="2:15" ht="15.4" thickBot="1">
      <c r="B46" s="841"/>
      <c r="C46" s="844"/>
      <c r="D46" s="868"/>
      <c r="E46" s="868"/>
      <c r="F46" s="894"/>
      <c r="G46" s="895" t="str">
        <f>G40</f>
        <v>2013-14 A.S.I. Revenue Projections</v>
      </c>
      <c r="H46" s="896">
        <f>H44-H45</f>
        <v>1150093.1100000001</v>
      </c>
      <c r="I46" s="95"/>
      <c r="L46" s="96"/>
      <c r="M46" s="88"/>
      <c r="N46" s="88"/>
      <c r="O46" s="88"/>
    </row>
    <row r="47" spans="2:15" ht="14.25">
      <c r="B47" s="897" t="s">
        <v>59</v>
      </c>
      <c r="C47" s="898"/>
      <c r="D47" s="899"/>
      <c r="E47" s="899"/>
      <c r="F47" s="900"/>
      <c r="G47" s="901"/>
      <c r="H47" s="902"/>
      <c r="I47" s="95"/>
      <c r="L47" s="96"/>
      <c r="M47" s="88"/>
      <c r="N47" s="88"/>
      <c r="O47" s="88"/>
    </row>
    <row r="48" spans="2:15">
      <c r="B48" s="1470" t="s">
        <v>325</v>
      </c>
      <c r="C48" s="1471"/>
      <c r="D48" s="1471"/>
      <c r="E48" s="1471"/>
      <c r="F48" s="1471"/>
      <c r="G48" s="1471"/>
      <c r="H48" s="1472"/>
      <c r="I48" s="99"/>
      <c r="J48" s="88"/>
      <c r="L48" s="100"/>
      <c r="M48" s="100"/>
      <c r="N48" s="88"/>
      <c r="O48" s="88"/>
    </row>
    <row r="49" spans="2:16" ht="12.75" customHeight="1">
      <c r="B49" s="1470"/>
      <c r="C49" s="1471"/>
      <c r="D49" s="1471"/>
      <c r="E49" s="1471"/>
      <c r="F49" s="1471"/>
      <c r="G49" s="1471"/>
      <c r="H49" s="1472"/>
      <c r="I49" s="99"/>
      <c r="L49" s="86"/>
      <c r="M49" s="86"/>
      <c r="N49" s="88"/>
      <c r="O49" s="88"/>
    </row>
    <row r="50" spans="2:16" ht="12.75" customHeight="1">
      <c r="B50" s="1470"/>
      <c r="C50" s="1471"/>
      <c r="D50" s="1471"/>
      <c r="E50" s="1471"/>
      <c r="F50" s="1471"/>
      <c r="G50" s="1471"/>
      <c r="H50" s="1472"/>
      <c r="I50" s="99"/>
      <c r="L50" s="86"/>
      <c r="M50" s="86"/>
      <c r="N50" s="88"/>
      <c r="O50" s="88"/>
    </row>
    <row r="51" spans="2:16" ht="12.75" customHeight="1">
      <c r="B51" s="1470"/>
      <c r="C51" s="1471"/>
      <c r="D51" s="1471"/>
      <c r="E51" s="1471"/>
      <c r="F51" s="1471"/>
      <c r="G51" s="1471"/>
      <c r="H51" s="1472"/>
      <c r="I51" s="99"/>
      <c r="L51" s="86"/>
      <c r="M51" s="86"/>
      <c r="N51" s="88"/>
      <c r="O51" s="88"/>
    </row>
    <row r="52" spans="2:16" ht="24.75" customHeight="1" thickBot="1">
      <c r="B52" s="1473"/>
      <c r="C52" s="1474"/>
      <c r="D52" s="1474"/>
      <c r="E52" s="1474"/>
      <c r="F52" s="1474"/>
      <c r="G52" s="1474"/>
      <c r="H52" s="1475"/>
      <c r="I52" s="101"/>
      <c r="L52" s="86"/>
      <c r="M52" s="86"/>
      <c r="N52" s="88"/>
      <c r="O52" s="88"/>
    </row>
    <row r="53" spans="2:16" ht="12.75" hidden="1" customHeight="1">
      <c r="B53" s="890"/>
      <c r="C53" s="888"/>
      <c r="D53" s="888"/>
      <c r="E53" s="889"/>
      <c r="F53" s="91"/>
      <c r="G53" s="91"/>
      <c r="H53" s="91"/>
      <c r="L53" s="86"/>
      <c r="M53" s="86"/>
      <c r="N53" s="87"/>
      <c r="O53" s="88"/>
    </row>
    <row r="54" spans="2:16" ht="2.25" customHeight="1" thickBot="1">
      <c r="B54" s="891"/>
      <c r="C54" s="892"/>
      <c r="D54" s="892"/>
      <c r="E54" s="893"/>
      <c r="F54" s="96"/>
      <c r="G54" s="96"/>
      <c r="H54" s="91"/>
      <c r="L54" s="96"/>
      <c r="M54" s="88"/>
      <c r="N54" s="88"/>
      <c r="O54" s="88"/>
    </row>
    <row r="55" spans="2:16" ht="15">
      <c r="C55" s="102"/>
      <c r="D55" s="103"/>
      <c r="E55" s="104"/>
      <c r="F55" s="395" t="s">
        <v>9</v>
      </c>
      <c r="G55" s="396" t="s">
        <v>29</v>
      </c>
      <c r="H55" s="400" t="s">
        <v>31</v>
      </c>
      <c r="L55" s="100"/>
      <c r="M55" s="100"/>
      <c r="N55" s="88"/>
      <c r="O55" s="88"/>
    </row>
    <row r="56" spans="2:16" ht="15">
      <c r="C56" s="102"/>
      <c r="D56" s="103"/>
      <c r="E56" s="745" t="s">
        <v>283</v>
      </c>
      <c r="F56" s="367" t="s">
        <v>14</v>
      </c>
      <c r="G56" s="397" t="s">
        <v>12</v>
      </c>
      <c r="H56" s="401" t="s">
        <v>34</v>
      </c>
      <c r="L56" s="86"/>
      <c r="M56" s="86"/>
      <c r="N56" s="88"/>
      <c r="O56" s="88"/>
    </row>
    <row r="57" spans="2:16">
      <c r="C57" s="102"/>
      <c r="D57" s="103"/>
      <c r="E57" s="103"/>
      <c r="F57" s="389" t="s">
        <v>36</v>
      </c>
      <c r="G57" s="398" t="s">
        <v>45</v>
      </c>
      <c r="H57" s="389" t="s">
        <v>38</v>
      </c>
      <c r="L57" s="86"/>
      <c r="M57" s="86"/>
      <c r="N57" s="88"/>
      <c r="O57" s="88"/>
    </row>
    <row r="58" spans="2:16" ht="13.15" thickBot="1">
      <c r="B58" s="809" t="s">
        <v>326</v>
      </c>
      <c r="C58" s="810"/>
      <c r="D58" s="811"/>
      <c r="E58" s="209"/>
      <c r="F58" s="390"/>
      <c r="G58" s="399"/>
      <c r="H58" s="390"/>
      <c r="L58" s="86"/>
      <c r="M58" s="86"/>
      <c r="N58" s="88"/>
      <c r="O58" s="88"/>
    </row>
    <row r="59" spans="2:16" ht="17.25">
      <c r="B59" s="903">
        <f>C8</f>
        <v>1594</v>
      </c>
      <c r="C59" s="904" t="str">
        <f>Administration!I8</f>
        <v>2018-19</v>
      </c>
      <c r="D59" s="983">
        <f>B59</f>
        <v>1594</v>
      </c>
      <c r="E59" s="984" t="s">
        <v>125</v>
      </c>
      <c r="F59" s="985">
        <v>21</v>
      </c>
      <c r="G59" s="986">
        <f>+D59*F59</f>
        <v>33474</v>
      </c>
      <c r="H59" s="986">
        <f>+G59</f>
        <v>33474</v>
      </c>
      <c r="I59" s="987"/>
      <c r="J59" s="988" t="s">
        <v>127</v>
      </c>
      <c r="K59" s="989"/>
      <c r="L59" s="990"/>
      <c r="M59" s="990"/>
      <c r="N59" s="991" t="s">
        <v>128</v>
      </c>
      <c r="O59" s="992">
        <v>71</v>
      </c>
      <c r="P59" s="989"/>
    </row>
    <row r="60" spans="2:16" ht="17.25">
      <c r="B60" s="905">
        <f>C9</f>
        <v>23258</v>
      </c>
      <c r="C60" s="906"/>
      <c r="D60" s="993">
        <f>B60</f>
        <v>23258</v>
      </c>
      <c r="E60" s="994"/>
      <c r="F60" s="985">
        <f>F59</f>
        <v>21</v>
      </c>
      <c r="G60" s="986">
        <f>+D60*F60</f>
        <v>488418</v>
      </c>
      <c r="H60" s="986">
        <f>+G60</f>
        <v>488418</v>
      </c>
      <c r="I60" s="987"/>
      <c r="J60" s="1446">
        <f>F60+F61+F62+F59</f>
        <v>84</v>
      </c>
      <c r="K60" s="989"/>
      <c r="L60" s="990"/>
      <c r="M60" s="990"/>
      <c r="N60" s="995"/>
      <c r="O60" s="996">
        <f>SUM(F59:F62)</f>
        <v>84</v>
      </c>
      <c r="P60" s="989"/>
    </row>
    <row r="61" spans="2:16" ht="17.25">
      <c r="B61" s="905">
        <f>C10</f>
        <v>19768</v>
      </c>
      <c r="C61" s="906"/>
      <c r="D61" s="993">
        <f>B61</f>
        <v>19768</v>
      </c>
      <c r="E61" s="994"/>
      <c r="F61" s="985">
        <f>F60</f>
        <v>21</v>
      </c>
      <c r="G61" s="986">
        <f>+D61*F61</f>
        <v>415128</v>
      </c>
      <c r="H61" s="986">
        <f>+G61</f>
        <v>415128</v>
      </c>
      <c r="I61" s="987"/>
      <c r="J61" s="1447"/>
      <c r="K61" s="989"/>
      <c r="L61" s="997"/>
      <c r="M61" s="998"/>
      <c r="N61" s="995">
        <f>J60-71</f>
        <v>13</v>
      </c>
      <c r="O61" s="992">
        <f>O62/4</f>
        <v>3.25</v>
      </c>
      <c r="P61" s="1026" t="s">
        <v>327</v>
      </c>
    </row>
    <row r="62" spans="2:16" ht="17.649999999999999" thickBot="1">
      <c r="B62" s="907">
        <f>C11</f>
        <v>19237</v>
      </c>
      <c r="C62" s="906"/>
      <c r="D62" s="993">
        <f>B62</f>
        <v>19237</v>
      </c>
      <c r="E62" s="994"/>
      <c r="F62" s="1027">
        <f>F61</f>
        <v>21</v>
      </c>
      <c r="G62" s="986">
        <f>+D62*F62</f>
        <v>403977</v>
      </c>
      <c r="H62" s="986">
        <f>+G62</f>
        <v>403977</v>
      </c>
      <c r="I62" s="999">
        <f>SUM(H59:H62)</f>
        <v>1340997</v>
      </c>
      <c r="J62" s="1476"/>
      <c r="K62" s="989"/>
      <c r="L62" s="1000"/>
      <c r="M62" s="989"/>
      <c r="N62" s="1001"/>
      <c r="O62" s="999">
        <f>O60-O59</f>
        <v>13</v>
      </c>
      <c r="P62" s="1026" t="s">
        <v>328</v>
      </c>
    </row>
    <row r="63" spans="2:16" ht="3.75" customHeight="1" thickBot="1">
      <c r="B63" s="172"/>
      <c r="C63" s="906"/>
      <c r="D63" s="993"/>
      <c r="E63" s="994"/>
      <c r="F63" s="1002"/>
      <c r="G63" s="986"/>
      <c r="H63" s="986"/>
      <c r="I63" s="987"/>
      <c r="J63" s="989"/>
      <c r="K63" s="989"/>
      <c r="L63" s="1000"/>
      <c r="M63" s="989"/>
      <c r="N63" s="989"/>
      <c r="O63" s="989"/>
      <c r="P63" s="989"/>
    </row>
    <row r="64" spans="2:16" ht="34.9">
      <c r="B64" s="172"/>
      <c r="C64" s="904" t="str">
        <f>Administration!I13</f>
        <v>2019-20</v>
      </c>
      <c r="D64" s="983">
        <f>(D59*0.01)+D59</f>
        <v>1609.94</v>
      </c>
      <c r="E64" s="1003" t="s">
        <v>130</v>
      </c>
      <c r="F64" s="1004">
        <v>23</v>
      </c>
      <c r="G64" s="1005">
        <f>+D64*F64</f>
        <v>37028.620000000003</v>
      </c>
      <c r="H64" s="1005">
        <f>+G64</f>
        <v>37028.620000000003</v>
      </c>
      <c r="I64" s="1006"/>
      <c r="J64" s="988" t="s">
        <v>127</v>
      </c>
      <c r="K64" s="989"/>
      <c r="L64" s="1007"/>
      <c r="M64" s="1008"/>
      <c r="N64" s="991" t="s">
        <v>128</v>
      </c>
      <c r="O64" s="992">
        <f>O60</f>
        <v>84</v>
      </c>
      <c r="P64" s="989"/>
    </row>
    <row r="65" spans="2:17" ht="17.25">
      <c r="B65" s="172"/>
      <c r="C65" s="906"/>
      <c r="D65" s="993">
        <f>(D60*0.01)+D60</f>
        <v>23490.58</v>
      </c>
      <c r="E65" s="1009"/>
      <c r="F65" s="1004">
        <f>F64</f>
        <v>23</v>
      </c>
      <c r="G65" s="1010">
        <f>+D65*F65</f>
        <v>540283.34000000008</v>
      </c>
      <c r="H65" s="1010">
        <f>+G65</f>
        <v>540283.34000000008</v>
      </c>
      <c r="I65" s="1011"/>
      <c r="J65" s="1477">
        <f>F65+F66+F67+F64</f>
        <v>92</v>
      </c>
      <c r="K65" s="989"/>
      <c r="L65" s="1012"/>
      <c r="M65" s="989"/>
      <c r="N65" s="995"/>
      <c r="O65" s="1013">
        <f>SUM(F64:F67)</f>
        <v>92</v>
      </c>
      <c r="P65" s="989"/>
    </row>
    <row r="66" spans="2:17" s="53" customFormat="1" ht="17.25">
      <c r="B66" s="172"/>
      <c r="C66" s="906"/>
      <c r="D66" s="993">
        <f>(D61*0.01)+D61</f>
        <v>19965.68</v>
      </c>
      <c r="E66" s="994"/>
      <c r="F66" s="1004">
        <f>F65</f>
        <v>23</v>
      </c>
      <c r="G66" s="1010">
        <f>+D66*F66</f>
        <v>459210.64</v>
      </c>
      <c r="H66" s="1010">
        <f>+G66</f>
        <v>459210.64</v>
      </c>
      <c r="I66" s="1011"/>
      <c r="J66" s="1447"/>
      <c r="K66" s="989"/>
      <c r="L66" s="1014"/>
      <c r="M66" s="1014"/>
      <c r="N66" s="995">
        <f>J65-71</f>
        <v>21</v>
      </c>
      <c r="O66" s="992">
        <f>O67/4</f>
        <v>2</v>
      </c>
      <c r="P66" s="1026" t="s">
        <v>327</v>
      </c>
      <c r="Q66" s="967"/>
    </row>
    <row r="67" spans="2:17" ht="17.649999999999999" thickBot="1">
      <c r="B67" s="172"/>
      <c r="C67" s="908"/>
      <c r="D67" s="1015">
        <f>(D62*0.01)+D62</f>
        <v>19429.37</v>
      </c>
      <c r="E67" s="1016"/>
      <c r="F67" s="1017">
        <f>F66</f>
        <v>23</v>
      </c>
      <c r="G67" s="1018">
        <f>+D67*F67</f>
        <v>446875.50999999995</v>
      </c>
      <c r="H67" s="1018">
        <f>+G67</f>
        <v>446875.50999999995</v>
      </c>
      <c r="I67" s="1019">
        <f>SUM(H64:H67)</f>
        <v>1483398.11</v>
      </c>
      <c r="J67" s="1476"/>
      <c r="K67" s="989"/>
      <c r="L67" s="1012"/>
      <c r="M67" s="989"/>
      <c r="N67" s="1001"/>
      <c r="O67" s="999">
        <f>O65-O64</f>
        <v>8</v>
      </c>
      <c r="P67" s="1026" t="s">
        <v>328</v>
      </c>
    </row>
    <row r="68" spans="2:17" ht="4.5" customHeight="1" thickBot="1">
      <c r="B68" s="172"/>
      <c r="C68" s="906"/>
      <c r="D68" s="993"/>
      <c r="E68" s="994"/>
      <c r="F68" s="1020"/>
      <c r="G68" s="989"/>
      <c r="H68" s="989"/>
      <c r="I68" s="987"/>
      <c r="J68" s="989"/>
      <c r="K68" s="989"/>
      <c r="L68" s="1012"/>
      <c r="M68" s="989"/>
      <c r="N68" s="989"/>
      <c r="O68" s="989"/>
      <c r="P68" s="989"/>
    </row>
    <row r="69" spans="2:17" ht="34.5">
      <c r="B69" s="172"/>
      <c r="C69" s="904" t="str">
        <f>Administration!I18</f>
        <v>2020-21</v>
      </c>
      <c r="D69" s="983">
        <f>(D64*0.01)+D64</f>
        <v>1626.0394000000001</v>
      </c>
      <c r="E69" s="1003" t="s">
        <v>130</v>
      </c>
      <c r="F69" s="1021">
        <v>25</v>
      </c>
      <c r="G69" s="1005">
        <f>+D69*F69</f>
        <v>40650.985000000001</v>
      </c>
      <c r="H69" s="1005">
        <f>+G69</f>
        <v>40650.985000000001</v>
      </c>
      <c r="I69" s="1006"/>
      <c r="J69" s="988" t="s">
        <v>127</v>
      </c>
      <c r="K69" s="989"/>
      <c r="L69" s="1012"/>
      <c r="M69" s="989"/>
      <c r="N69" s="991" t="s">
        <v>128</v>
      </c>
      <c r="O69" s="999">
        <f>O65</f>
        <v>92</v>
      </c>
      <c r="P69" s="999"/>
    </row>
    <row r="70" spans="2:17" ht="17.25">
      <c r="B70" s="172"/>
      <c r="C70" s="906"/>
      <c r="D70" s="993">
        <f>(D65*0.01)+D65</f>
        <v>23725.485800000002</v>
      </c>
      <c r="E70" s="1009"/>
      <c r="F70" s="1021">
        <f>F69</f>
        <v>25</v>
      </c>
      <c r="G70" s="1010">
        <f>+D70*F70</f>
        <v>593137.14500000002</v>
      </c>
      <c r="H70" s="1010">
        <f>+G70</f>
        <v>593137.14500000002</v>
      </c>
      <c r="I70" s="1011"/>
      <c r="J70" s="1477">
        <f>F70+F71+F72+F69</f>
        <v>100</v>
      </c>
      <c r="K70" s="989"/>
      <c r="L70" s="1012"/>
      <c r="M70" s="989"/>
      <c r="N70" s="995"/>
      <c r="O70" s="1022">
        <f>SUM(F69:F72)</f>
        <v>100</v>
      </c>
      <c r="P70" s="999"/>
    </row>
    <row r="71" spans="2:17" ht="17.25">
      <c r="B71" s="172"/>
      <c r="C71" s="906"/>
      <c r="D71" s="993">
        <f>(D66*0.01)+D66</f>
        <v>20165.336800000001</v>
      </c>
      <c r="E71" s="994"/>
      <c r="F71" s="1021">
        <f>F70</f>
        <v>25</v>
      </c>
      <c r="G71" s="1010">
        <f>+D71*F71</f>
        <v>504133.42000000004</v>
      </c>
      <c r="H71" s="1010">
        <f>+G71</f>
        <v>504133.42000000004</v>
      </c>
      <c r="I71" s="1011"/>
      <c r="J71" s="1447"/>
      <c r="K71" s="989"/>
      <c r="L71" s="1012"/>
      <c r="M71" s="989"/>
      <c r="N71" s="995">
        <f>J70-71</f>
        <v>29</v>
      </c>
      <c r="O71" s="992">
        <f>O72/4</f>
        <v>2</v>
      </c>
      <c r="P71" s="1026" t="s">
        <v>327</v>
      </c>
    </row>
    <row r="72" spans="2:17" ht="17.649999999999999" thickBot="1">
      <c r="B72" s="172"/>
      <c r="C72" s="908"/>
      <c r="D72" s="1015">
        <f>(D67*0.01)+D67</f>
        <v>19623.663699999997</v>
      </c>
      <c r="E72" s="1016"/>
      <c r="F72" s="1023">
        <f>F71</f>
        <v>25</v>
      </c>
      <c r="G72" s="1018">
        <f>+D72*F72</f>
        <v>490591.59249999991</v>
      </c>
      <c r="H72" s="1018">
        <f>+G72</f>
        <v>490591.59249999991</v>
      </c>
      <c r="I72" s="1019">
        <f>SUM(H69:H72)</f>
        <v>1628513.1425000001</v>
      </c>
      <c r="J72" s="1476"/>
      <c r="K72" s="989"/>
      <c r="L72" s="1012"/>
      <c r="M72" s="989"/>
      <c r="N72" s="1001"/>
      <c r="O72" s="999">
        <f>O70-O69</f>
        <v>8</v>
      </c>
      <c r="P72" s="1026" t="s">
        <v>328</v>
      </c>
    </row>
    <row r="73" spans="2:17" ht="5.25" customHeight="1" thickBot="1">
      <c r="B73" s="172"/>
      <c r="C73" s="906"/>
      <c r="D73" s="993"/>
      <c r="E73" s="994"/>
      <c r="F73" s="1024"/>
      <c r="G73" s="989"/>
      <c r="H73" s="989"/>
      <c r="I73" s="987"/>
      <c r="J73" s="989"/>
      <c r="K73" s="989"/>
      <c r="L73" s="1012"/>
      <c r="M73" s="989"/>
      <c r="N73" s="989"/>
      <c r="O73" s="989"/>
      <c r="P73" s="989"/>
    </row>
    <row r="74" spans="2:17" ht="34.5">
      <c r="B74" s="172"/>
      <c r="C74" s="904" t="e">
        <f>Administration!#REF!</f>
        <v>#REF!</v>
      </c>
      <c r="D74" s="983">
        <f>(D69*0.01)+D69</f>
        <v>1642.299794</v>
      </c>
      <c r="E74" s="1003" t="s">
        <v>130</v>
      </c>
      <c r="F74" s="1025">
        <v>35</v>
      </c>
      <c r="G74" s="1005">
        <f>+D74*F74</f>
        <v>57480.492790000004</v>
      </c>
      <c r="H74" s="1005">
        <f>+G74</f>
        <v>57480.492790000004</v>
      </c>
      <c r="I74" s="1006"/>
      <c r="J74" s="988" t="s">
        <v>127</v>
      </c>
      <c r="K74" s="989"/>
      <c r="L74" s="1012"/>
      <c r="M74" s="989"/>
      <c r="N74" s="991" t="s">
        <v>128</v>
      </c>
      <c r="O74" s="989"/>
      <c r="P74" s="989"/>
    </row>
    <row r="75" spans="2:17" ht="17.25">
      <c r="B75" s="172"/>
      <c r="C75" s="906"/>
      <c r="D75" s="993">
        <f>(D70*0.01)+D70</f>
        <v>23962.740658000002</v>
      </c>
      <c r="E75" s="1009"/>
      <c r="F75" s="990">
        <f>F74</f>
        <v>35</v>
      </c>
      <c r="G75" s="1010">
        <f>+D75*F75</f>
        <v>838695.92303000006</v>
      </c>
      <c r="H75" s="1010">
        <f>+G75</f>
        <v>838695.92303000006</v>
      </c>
      <c r="I75" s="1011"/>
      <c r="J75" s="1477">
        <f>F75+F76+F77+F74</f>
        <v>140</v>
      </c>
      <c r="K75" s="989"/>
      <c r="L75" s="1012"/>
      <c r="M75" s="989"/>
      <c r="N75" s="995"/>
      <c r="O75" s="989"/>
      <c r="P75" s="989"/>
    </row>
    <row r="76" spans="2:17" ht="17.25">
      <c r="B76" s="172"/>
      <c r="C76" s="906"/>
      <c r="D76" s="993">
        <f>(D71*0.01)+D71</f>
        <v>20366.990168</v>
      </c>
      <c r="E76" s="994"/>
      <c r="F76" s="990">
        <f>F75</f>
        <v>35</v>
      </c>
      <c r="G76" s="1010">
        <f>+D76*F76</f>
        <v>712844.65587999998</v>
      </c>
      <c r="H76" s="1010">
        <f>+G76</f>
        <v>712844.65587999998</v>
      </c>
      <c r="I76" s="1011"/>
      <c r="J76" s="1447"/>
      <c r="K76" s="989"/>
      <c r="L76" s="1012"/>
      <c r="M76" s="989"/>
      <c r="N76" s="995">
        <f>J75-71</f>
        <v>69</v>
      </c>
      <c r="O76" s="989"/>
      <c r="P76" s="989"/>
    </row>
    <row r="77" spans="2:17" ht="17.649999999999999" thickBot="1">
      <c r="B77" s="172"/>
      <c r="C77" s="908"/>
      <c r="D77" s="1015">
        <f>(D72*0.01)+D72</f>
        <v>19819.900336999999</v>
      </c>
      <c r="E77" s="1016"/>
      <c r="F77" s="1002">
        <f>F76</f>
        <v>35</v>
      </c>
      <c r="G77" s="1018">
        <f>+D77*F77</f>
        <v>693696.51179499994</v>
      </c>
      <c r="H77" s="1018">
        <f>+G77</f>
        <v>693696.51179499994</v>
      </c>
      <c r="I77" s="1019">
        <f>SUM(H74:H77)</f>
        <v>2302717.5834950004</v>
      </c>
      <c r="J77" s="1476"/>
      <c r="K77" s="989"/>
      <c r="L77" s="1012"/>
      <c r="M77" s="989"/>
      <c r="N77" s="1001"/>
      <c r="O77" s="989"/>
      <c r="P77" s="989"/>
    </row>
    <row r="78" spans="2:17">
      <c r="C78" s="102"/>
      <c r="D78" s="822"/>
      <c r="E78" s="91"/>
      <c r="F78" s="91"/>
    </row>
    <row r="79" spans="2:17">
      <c r="C79" s="102"/>
      <c r="D79" s="105"/>
      <c r="E79" s="823"/>
      <c r="F79" s="91"/>
    </row>
    <row r="80" spans="2:17">
      <c r="C80" s="102"/>
      <c r="D80" s="105"/>
      <c r="E80" s="91"/>
      <c r="F80" s="91"/>
    </row>
    <row r="81" spans="2:13">
      <c r="C81" s="102"/>
      <c r="D81" s="105"/>
      <c r="E81" s="91"/>
      <c r="F81" s="91"/>
    </row>
    <row r="82" spans="2:13">
      <c r="B82" s="117"/>
      <c r="C82" s="118"/>
      <c r="D82" s="119"/>
      <c r="E82" s="119"/>
    </row>
    <row r="83" spans="2:13">
      <c r="B83" s="117"/>
      <c r="C83" s="37"/>
      <c r="D83" s="119"/>
      <c r="E83" s="119"/>
    </row>
    <row r="84" spans="2:13">
      <c r="B84" s="117"/>
      <c r="C84" s="120"/>
      <c r="D84" s="119"/>
      <c r="E84" s="119"/>
    </row>
    <row r="85" spans="2:13">
      <c r="B85" s="37"/>
      <c r="C85" s="109"/>
      <c r="D85" s="37"/>
      <c r="E85" s="37"/>
    </row>
    <row r="86" spans="2:13">
      <c r="B86" s="37"/>
      <c r="C86" s="109"/>
      <c r="D86" s="110"/>
      <c r="E86" s="110"/>
    </row>
    <row r="87" spans="2:13">
      <c r="C87" s="107"/>
      <c r="D87" s="108"/>
      <c r="E87" s="108"/>
    </row>
    <row r="88" spans="2:13">
      <c r="C88" s="107"/>
      <c r="D88" s="108"/>
      <c r="E88" s="108"/>
    </row>
    <row r="89" spans="2:13">
      <c r="C89" s="107"/>
      <c r="D89" s="108"/>
      <c r="E89" s="108"/>
    </row>
    <row r="90" spans="2:13">
      <c r="C90" s="107"/>
      <c r="D90"/>
      <c r="E90"/>
    </row>
    <row r="91" spans="2:13">
      <c r="C91" s="107"/>
      <c r="D91" s="108"/>
      <c r="E91" s="108"/>
    </row>
    <row r="92" spans="2:13">
      <c r="C92" s="107"/>
      <c r="D92" s="108"/>
      <c r="E92" s="108"/>
    </row>
    <row r="93" spans="2:13">
      <c r="C93" s="107"/>
      <c r="D93" s="108"/>
      <c r="E93" s="108"/>
    </row>
    <row r="94" spans="2:13">
      <c r="C94" s="107"/>
      <c r="D94" s="108"/>
      <c r="E94" s="108"/>
      <c r="L94"/>
    </row>
    <row r="95" spans="2:13">
      <c r="C95" s="107"/>
      <c r="D95"/>
      <c r="E95"/>
      <c r="L95"/>
    </row>
    <row r="96" spans="2:13">
      <c r="C96" s="107"/>
      <c r="D96" s="108"/>
      <c r="E96" s="108"/>
      <c r="L96" s="47"/>
      <c r="M96" s="47"/>
    </row>
    <row r="97" spans="3:13">
      <c r="C97" s="107"/>
      <c r="D97" s="108"/>
      <c r="E97" s="108"/>
      <c r="L97" s="121"/>
      <c r="M97" s="75"/>
    </row>
    <row r="98" spans="3:13">
      <c r="C98" s="107"/>
      <c r="D98" s="108"/>
      <c r="E98" s="108"/>
      <c r="L98" s="108"/>
      <c r="M98" s="75"/>
    </row>
    <row r="99" spans="3:13">
      <c r="C99" s="107"/>
      <c r="D99" s="108"/>
      <c r="E99" s="108"/>
      <c r="L99" s="108"/>
      <c r="M99" s="75"/>
    </row>
    <row r="100" spans="3:13">
      <c r="C100" s="107"/>
      <c r="D100"/>
      <c r="E100"/>
      <c r="L100" s="108"/>
      <c r="M100" s="75"/>
    </row>
    <row r="101" spans="3:13">
      <c r="C101" s="107"/>
      <c r="D101" s="108"/>
      <c r="E101" s="108"/>
      <c r="L101" s="108"/>
      <c r="M101" s="75"/>
    </row>
    <row r="102" spans="3:13">
      <c r="D102" s="108"/>
      <c r="E102" s="108"/>
      <c r="L102" s="108"/>
      <c r="M102" s="75"/>
    </row>
    <row r="103" spans="3:13">
      <c r="D103" s="108"/>
      <c r="E103" s="108"/>
      <c r="L103" s="108"/>
      <c r="M103" s="75"/>
    </row>
    <row r="104" spans="3:13">
      <c r="D104" s="108"/>
      <c r="E104" s="108"/>
      <c r="L104" s="108"/>
      <c r="M104" s="75"/>
    </row>
    <row r="105" spans="3:13">
      <c r="L105" s="108"/>
      <c r="M105" s="75"/>
    </row>
    <row r="106" spans="3:13">
      <c r="L106" s="108"/>
      <c r="M106" s="75"/>
    </row>
    <row r="107" spans="3:13">
      <c r="L107" s="108"/>
      <c r="M107" s="75"/>
    </row>
    <row r="108" spans="3:13">
      <c r="L108" s="108"/>
      <c r="M108" s="75"/>
    </row>
    <row r="109" spans="3:13">
      <c r="L109" s="108"/>
      <c r="M109" s="75"/>
    </row>
    <row r="110" spans="3:13">
      <c r="L110"/>
    </row>
    <row r="111" spans="3:13">
      <c r="L111"/>
    </row>
    <row r="112" spans="3:13">
      <c r="L112"/>
    </row>
    <row r="113" customFormat="1"/>
    <row r="114" customFormat="1"/>
    <row r="115" customFormat="1"/>
    <row r="116" customFormat="1"/>
    <row r="117" customFormat="1"/>
    <row r="118" customFormat="1"/>
    <row r="119" customFormat="1"/>
    <row r="120" customFormat="1"/>
    <row r="121" customFormat="1"/>
    <row r="122" customFormat="1"/>
    <row r="123" customFormat="1"/>
  </sheetData>
  <mergeCells count="5">
    <mergeCell ref="B48:H52"/>
    <mergeCell ref="J60:J62"/>
    <mergeCell ref="J65:J67"/>
    <mergeCell ref="J70:J72"/>
    <mergeCell ref="J75:J77"/>
  </mergeCells>
  <pageMargins left="0.25" right="0.25" top="0.75" bottom="0.75" header="0.3" footer="0.3"/>
  <pageSetup paperSize="17"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M23"/>
  <sheetViews>
    <sheetView workbookViewId="0">
      <selection activeCell="M14" sqref="M14"/>
    </sheetView>
  </sheetViews>
  <sheetFormatPr defaultRowHeight="12.75"/>
  <cols>
    <col min="13" max="13" width="11.3984375" customWidth="1"/>
  </cols>
  <sheetData>
    <row r="5" spans="12:12">
      <c r="L5" s="373"/>
    </row>
    <row r="21" spans="13:13" ht="14.25">
      <c r="M21" s="691"/>
    </row>
    <row r="22" spans="13:13" ht="14.25">
      <c r="M22" s="691"/>
    </row>
    <row r="23" spans="13:13">
      <c r="M23" s="690"/>
    </row>
  </sheetData>
  <pageMargins left="0.75" right="0.75" top="1" bottom="1" header="0.5" footer="0.5"/>
  <pageSetup scale="8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workbookViewId="0">
      <selection activeCell="B36" sqref="B36:F36"/>
    </sheetView>
  </sheetViews>
  <sheetFormatPr defaultRowHeight="12.75"/>
  <cols>
    <col min="1" max="1" width="5.59765625" style="373" customWidth="1"/>
    <col min="6" max="6" width="15.265625" customWidth="1"/>
    <col min="7" max="7" width="13.265625" style="373" customWidth="1"/>
    <col min="13" max="13" width="27" customWidth="1"/>
  </cols>
  <sheetData>
    <row r="1" spans="1:13" ht="13.15" thickBot="1"/>
    <row r="2" spans="1:13" ht="16.149999999999999" customHeight="1" thickBot="1">
      <c r="A2" s="1499" t="str">
        <f>Administration!B1</f>
        <v>Administration</v>
      </c>
      <c r="B2" s="1500"/>
      <c r="C2" s="1500"/>
      <c r="D2" s="1500"/>
      <c r="E2" s="1500"/>
      <c r="F2" s="1501"/>
      <c r="G2" s="1480" t="s">
        <v>82</v>
      </c>
      <c r="H2" s="1479"/>
      <c r="I2" s="1479"/>
      <c r="J2" s="1479"/>
      <c r="K2" s="1479"/>
      <c r="L2" s="1479"/>
      <c r="M2" s="1479"/>
    </row>
    <row r="3" spans="1:13" ht="15.4" thickBot="1">
      <c r="A3" s="1410"/>
      <c r="B3" s="1490" t="s">
        <v>10</v>
      </c>
      <c r="C3" s="1491"/>
      <c r="D3" s="1491"/>
      <c r="E3" s="1491"/>
      <c r="F3" s="1492"/>
      <c r="G3" s="1481"/>
      <c r="H3" s="1493" t="s">
        <v>329</v>
      </c>
      <c r="I3" s="1494"/>
      <c r="J3" s="1494"/>
      <c r="K3" s="1494"/>
      <c r="L3" s="1494"/>
      <c r="M3" s="1495"/>
    </row>
    <row r="4" spans="1:13">
      <c r="B4" s="1488" t="str">
        <f>Administration!B8</f>
        <v>Personnel</v>
      </c>
      <c r="C4" s="1488"/>
      <c r="D4" s="1488"/>
      <c r="E4" s="1488"/>
      <c r="F4" s="1488"/>
      <c r="G4" s="1086"/>
      <c r="H4" s="1479"/>
      <c r="I4" s="1479"/>
      <c r="J4" s="1479"/>
      <c r="K4" s="1479"/>
      <c r="L4" s="1479"/>
      <c r="M4" s="1479"/>
    </row>
    <row r="5" spans="1:13">
      <c r="A5" s="922" t="s">
        <v>100</v>
      </c>
      <c r="B5" s="1478" t="str">
        <f>Administration!B9</f>
        <v>Staff Salaries</v>
      </c>
      <c r="C5" s="1478"/>
      <c r="D5" s="1478"/>
      <c r="E5" s="1478"/>
      <c r="F5" s="1478"/>
      <c r="G5" s="1085">
        <f>Administration!H9</f>
        <v>1.9999999999999952E-2</v>
      </c>
      <c r="H5" s="1487" t="s">
        <v>330</v>
      </c>
      <c r="I5" s="1482"/>
      <c r="J5" s="1482"/>
      <c r="K5" s="1482"/>
      <c r="L5" s="1482"/>
      <c r="M5" s="1482"/>
    </row>
    <row r="6" spans="1:13">
      <c r="B6" s="1478"/>
      <c r="C6" s="1478"/>
      <c r="D6" s="1478"/>
      <c r="E6" s="1478"/>
      <c r="F6" s="1478"/>
      <c r="H6" s="1479"/>
      <c r="I6" s="1479"/>
      <c r="J6" s="1479"/>
      <c r="K6" s="1479"/>
      <c r="L6" s="1479"/>
      <c r="M6" s="1479"/>
    </row>
    <row r="7" spans="1:13">
      <c r="B7" s="1483" t="str">
        <f>Administration!B14</f>
        <v>Supplies and Services</v>
      </c>
      <c r="C7" s="1483"/>
      <c r="D7" s="1483"/>
      <c r="E7" s="1483"/>
      <c r="F7" s="1483"/>
      <c r="G7" s="1411"/>
      <c r="H7" s="1479"/>
      <c r="I7" s="1479"/>
      <c r="J7" s="1479"/>
      <c r="K7" s="1479"/>
      <c r="L7" s="1479"/>
      <c r="M7" s="1479"/>
    </row>
    <row r="8" spans="1:13">
      <c r="A8" s="922" t="s">
        <v>97</v>
      </c>
      <c r="B8" s="1410" t="str">
        <f>Administration!B20</f>
        <v>Payroll Charges</v>
      </c>
      <c r="C8" s="1410"/>
      <c r="D8" s="1410"/>
      <c r="E8" s="1410"/>
      <c r="F8" s="1410"/>
      <c r="G8" s="1085">
        <f>Administration!H20</f>
        <v>2.0000000000000052E-2</v>
      </c>
      <c r="H8" s="1487" t="s">
        <v>331</v>
      </c>
      <c r="I8" s="1482"/>
      <c r="J8" s="1482"/>
      <c r="K8" s="1482"/>
      <c r="L8" s="1482"/>
      <c r="M8" s="1482"/>
    </row>
    <row r="9" spans="1:13">
      <c r="B9" s="1478"/>
      <c r="C9" s="1478"/>
      <c r="D9" s="1478"/>
      <c r="E9" s="1478"/>
      <c r="F9" s="1478"/>
      <c r="H9" s="1479"/>
      <c r="I9" s="1479"/>
      <c r="J9" s="1479"/>
      <c r="K9" s="1479"/>
      <c r="L9" s="1479"/>
      <c r="M9" s="1479"/>
    </row>
    <row r="10" spans="1:13">
      <c r="B10" s="1483" t="str">
        <f>Administration!B25</f>
        <v>Seminars, Conf., Memberships and Travel</v>
      </c>
      <c r="C10" s="1483"/>
      <c r="D10" s="1483"/>
      <c r="E10" s="1483"/>
      <c r="F10" s="1483"/>
      <c r="G10" s="1411"/>
      <c r="H10" s="1479"/>
      <c r="I10" s="1479"/>
      <c r="J10" s="1479"/>
      <c r="K10" s="1479"/>
      <c r="L10" s="1479"/>
      <c r="M10" s="1479"/>
    </row>
    <row r="11" spans="1:13" ht="27.6" customHeight="1">
      <c r="A11" s="922" t="s">
        <v>332</v>
      </c>
      <c r="B11" s="1478" t="str">
        <f>Administration!B26</f>
        <v>Total Travel</v>
      </c>
      <c r="C11" s="1478"/>
      <c r="D11" s="1478"/>
      <c r="E11" s="1478"/>
      <c r="F11" s="1478"/>
      <c r="G11" s="1085">
        <f>Administration!H26</f>
        <v>2.0000000000000077E-2</v>
      </c>
      <c r="H11" s="1503" t="s">
        <v>333</v>
      </c>
      <c r="I11" s="1486"/>
      <c r="J11" s="1486"/>
      <c r="K11" s="1486"/>
      <c r="L11" s="1486"/>
      <c r="M11" s="1486"/>
    </row>
    <row r="12" spans="1:13" ht="13.15" thickBot="1">
      <c r="B12" s="1478"/>
      <c r="C12" s="1478"/>
      <c r="D12" s="1478"/>
      <c r="E12" s="1478"/>
      <c r="F12" s="1478"/>
      <c r="H12" s="1479"/>
      <c r="I12" s="1479"/>
      <c r="J12" s="1479"/>
      <c r="K12" s="1479"/>
      <c r="L12" s="1479"/>
      <c r="M12" s="1479"/>
    </row>
    <row r="13" spans="1:13" ht="13.9" customHeight="1" thickBot="1">
      <c r="A13" s="1499" t="str">
        <f>'Student Government'!B1</f>
        <v>Student Government</v>
      </c>
      <c r="B13" s="1500"/>
      <c r="C13" s="1500"/>
      <c r="D13" s="1500"/>
      <c r="E13" s="1500"/>
      <c r="F13" s="1501"/>
      <c r="G13" s="1480" t="s">
        <v>82</v>
      </c>
      <c r="H13" s="1479"/>
      <c r="I13" s="1479"/>
      <c r="J13" s="1479"/>
      <c r="K13" s="1479"/>
      <c r="L13" s="1479"/>
      <c r="M13" s="1479"/>
    </row>
    <row r="14" spans="1:13" ht="15.4" thickBot="1">
      <c r="B14" s="1490" t="s">
        <v>10</v>
      </c>
      <c r="C14" s="1491"/>
      <c r="D14" s="1491"/>
      <c r="E14" s="1491"/>
      <c r="F14" s="1492"/>
      <c r="G14" s="1481"/>
      <c r="H14" s="1493" t="s">
        <v>329</v>
      </c>
      <c r="I14" s="1494"/>
      <c r="J14" s="1494"/>
      <c r="K14" s="1494"/>
      <c r="L14" s="1494"/>
      <c r="M14" s="1495"/>
    </row>
    <row r="15" spans="1:13">
      <c r="B15" s="1502"/>
      <c r="C15" s="1502"/>
      <c r="D15" s="1502"/>
      <c r="E15" s="1502"/>
      <c r="F15" s="1502"/>
      <c r="G15" s="1087"/>
      <c r="H15" s="1479"/>
      <c r="I15" s="1479"/>
      <c r="J15" s="1479"/>
      <c r="K15" s="1479"/>
      <c r="L15" s="1479"/>
      <c r="M15" s="1479"/>
    </row>
    <row r="16" spans="1:13">
      <c r="B16" s="1483" t="str">
        <f>B7</f>
        <v>Supplies and Services</v>
      </c>
      <c r="C16" s="1483"/>
      <c r="D16" s="1483"/>
      <c r="E16" s="1483"/>
      <c r="F16" s="1483"/>
      <c r="G16" s="1411"/>
      <c r="H16" s="1479"/>
      <c r="I16" s="1479"/>
      <c r="J16" s="1479"/>
      <c r="K16" s="1479"/>
      <c r="L16" s="1479"/>
      <c r="M16" s="1479"/>
    </row>
    <row r="17" spans="1:13" ht="29.45" customHeight="1">
      <c r="A17" s="922" t="s">
        <v>100</v>
      </c>
      <c r="B17" s="1478" t="str">
        <f>'Student Government'!B14</f>
        <v>Technology Related</v>
      </c>
      <c r="C17" s="1478"/>
      <c r="D17" s="1478"/>
      <c r="E17" s="1478"/>
      <c r="F17" s="1478"/>
      <c r="G17" s="1085">
        <f>'Student Government'!H14</f>
        <v>2.0000000000000042E-2</v>
      </c>
      <c r="H17" s="1503" t="s">
        <v>334</v>
      </c>
      <c r="I17" s="1486"/>
      <c r="J17" s="1486"/>
      <c r="K17" s="1486"/>
      <c r="L17" s="1486"/>
      <c r="M17" s="1486"/>
    </row>
    <row r="18" spans="1:13">
      <c r="B18" s="1478"/>
      <c r="C18" s="1478"/>
      <c r="D18" s="1478"/>
      <c r="E18" s="1478"/>
      <c r="F18" s="1478"/>
      <c r="H18" s="1479"/>
      <c r="I18" s="1479"/>
      <c r="J18" s="1479"/>
      <c r="K18" s="1479"/>
      <c r="L18" s="1479"/>
      <c r="M18" s="1479"/>
    </row>
    <row r="19" spans="1:13">
      <c r="B19" s="1489" t="str">
        <f>'Student Government'!B20</f>
        <v>CSSA</v>
      </c>
      <c r="C19" s="1489"/>
      <c r="D19" s="1489"/>
      <c r="E19" s="1489"/>
      <c r="F19" s="1489"/>
      <c r="G19" s="1412"/>
      <c r="H19" s="1479"/>
      <c r="I19" s="1479"/>
      <c r="J19" s="1479"/>
      <c r="K19" s="1479"/>
      <c r="L19" s="1479"/>
      <c r="M19" s="1479"/>
    </row>
    <row r="20" spans="1:13">
      <c r="A20" s="922" t="s">
        <v>97</v>
      </c>
      <c r="B20" s="1478" t="str">
        <f>'Student Government'!B21</f>
        <v>A.S.I. Student Government Travel</v>
      </c>
      <c r="C20" s="1478"/>
      <c r="D20" s="1478"/>
      <c r="E20" s="1478"/>
      <c r="F20" s="1478"/>
      <c r="G20" s="1085">
        <f>'Student Government'!H21</f>
        <v>0.02</v>
      </c>
      <c r="H20" s="1487" t="s">
        <v>335</v>
      </c>
      <c r="I20" s="1482"/>
      <c r="J20" s="1482"/>
      <c r="K20" s="1482"/>
      <c r="L20" s="1482"/>
      <c r="M20" s="1482"/>
    </row>
    <row r="21" spans="1:13">
      <c r="B21" s="1478"/>
      <c r="C21" s="1478"/>
      <c r="D21" s="1478"/>
      <c r="E21" s="1478"/>
      <c r="F21" s="1478"/>
      <c r="H21" s="1482"/>
      <c r="I21" s="1482"/>
      <c r="J21" s="1482"/>
      <c r="K21" s="1482"/>
      <c r="L21" s="1482"/>
      <c r="M21" s="1482"/>
    </row>
    <row r="22" spans="1:13">
      <c r="B22" s="1489" t="str">
        <f>'Student Government'!B24</f>
        <v>FT Staff Travel</v>
      </c>
      <c r="C22" s="1489"/>
      <c r="D22" s="1489"/>
      <c r="E22" s="1489"/>
      <c r="F22" s="1489"/>
      <c r="G22" s="1412"/>
      <c r="H22" s="1482"/>
      <c r="I22" s="1482"/>
      <c r="J22" s="1482"/>
      <c r="K22" s="1482"/>
      <c r="L22" s="1482"/>
      <c r="M22" s="1482"/>
    </row>
    <row r="23" spans="1:13">
      <c r="A23" s="922" t="s">
        <v>332</v>
      </c>
      <c r="B23" s="1478" t="str">
        <f>'Student Government'!B25</f>
        <v>Travel (In State &amp; Out of State)</v>
      </c>
      <c r="C23" s="1478"/>
      <c r="D23" s="1478"/>
      <c r="E23" s="1478"/>
      <c r="F23" s="1478"/>
      <c r="G23" s="1085">
        <f>'Student Government'!H25</f>
        <v>1.9999999999999931E-2</v>
      </c>
      <c r="H23" s="1487" t="s">
        <v>336</v>
      </c>
      <c r="I23" s="1482"/>
      <c r="J23" s="1482"/>
      <c r="K23" s="1482"/>
      <c r="L23" s="1482"/>
      <c r="M23" s="1482"/>
    </row>
    <row r="24" spans="1:13">
      <c r="B24" s="1478"/>
      <c r="C24" s="1478"/>
      <c r="D24" s="1478"/>
      <c r="E24" s="1478"/>
      <c r="F24" s="1478"/>
      <c r="H24" s="1479"/>
      <c r="I24" s="1479"/>
      <c r="J24" s="1479"/>
      <c r="K24" s="1479"/>
      <c r="L24" s="1479"/>
      <c r="M24" s="1479"/>
    </row>
    <row r="25" spans="1:13" ht="13.15" thickBot="1">
      <c r="B25" s="1478"/>
      <c r="C25" s="1478"/>
      <c r="D25" s="1478"/>
      <c r="E25" s="1478"/>
      <c r="F25" s="1478"/>
      <c r="H25" s="1479"/>
      <c r="I25" s="1479"/>
      <c r="J25" s="1479"/>
      <c r="K25" s="1479"/>
      <c r="L25" s="1479"/>
      <c r="M25" s="1479"/>
    </row>
    <row r="26" spans="1:13" ht="25.15" customHeight="1" thickBot="1">
      <c r="A26" s="1496" t="str">
        <f>'Student &amp; University Support'!B1</f>
        <v>Student &amp; University Support</v>
      </c>
      <c r="B26" s="1497"/>
      <c r="C26" s="1497"/>
      <c r="D26" s="1497"/>
      <c r="E26" s="1497"/>
      <c r="F26" s="1498"/>
      <c r="G26" s="1480" t="s">
        <v>82</v>
      </c>
      <c r="H26" s="1479"/>
      <c r="I26" s="1479"/>
      <c r="J26" s="1479"/>
      <c r="K26" s="1479"/>
      <c r="L26" s="1479"/>
      <c r="M26" s="1479"/>
    </row>
    <row r="27" spans="1:13" ht="15.4" thickBot="1">
      <c r="B27" s="1490" t="s">
        <v>10</v>
      </c>
      <c r="C27" s="1491"/>
      <c r="D27" s="1491"/>
      <c r="E27" s="1491"/>
      <c r="F27" s="1492"/>
      <c r="G27" s="1481"/>
      <c r="H27" s="1493" t="s">
        <v>329</v>
      </c>
      <c r="I27" s="1494"/>
      <c r="J27" s="1494"/>
      <c r="K27" s="1494"/>
      <c r="L27" s="1494"/>
      <c r="M27" s="1495"/>
    </row>
    <row r="28" spans="1:13">
      <c r="B28" s="1488" t="str">
        <f>'Student &amp; University Support'!B5</f>
        <v>Revenue *</v>
      </c>
      <c r="C28" s="1488"/>
      <c r="D28" s="1488"/>
      <c r="E28" s="1488"/>
      <c r="F28" s="1488"/>
      <c r="G28" s="1086"/>
      <c r="H28" s="1479"/>
      <c r="I28" s="1479"/>
      <c r="J28" s="1479"/>
      <c r="K28" s="1479"/>
      <c r="L28" s="1479"/>
      <c r="M28" s="1479"/>
    </row>
    <row r="29" spans="1:13" ht="26.25" customHeight="1">
      <c r="A29" s="1090" t="s">
        <v>100</v>
      </c>
      <c r="B29" s="1484" t="str">
        <f>'Student &amp; University Support'!B9</f>
        <v>Miscellaneous Revenue (Rev. Other, Music Concerts, Events, &amp; Laptop Rev)</v>
      </c>
      <c r="C29" s="1484"/>
      <c r="D29" s="1484"/>
      <c r="E29" s="1484"/>
      <c r="F29" s="1484"/>
      <c r="G29" s="1089">
        <f>'Student &amp; University Support'!H9</f>
        <v>0.02</v>
      </c>
      <c r="H29" s="1486" t="s">
        <v>337</v>
      </c>
      <c r="I29" s="1486"/>
      <c r="J29" s="1486"/>
      <c r="K29" s="1486"/>
      <c r="L29" s="1486"/>
      <c r="M29" s="1486"/>
    </row>
    <row r="30" spans="1:13">
      <c r="A30" s="1413"/>
      <c r="B30" s="1484"/>
      <c r="C30" s="1484"/>
      <c r="D30" s="1484"/>
      <c r="E30" s="1484"/>
      <c r="F30" s="1484"/>
      <c r="G30" s="1088"/>
      <c r="H30" s="1482"/>
      <c r="I30" s="1482"/>
      <c r="J30" s="1482"/>
      <c r="K30" s="1482"/>
      <c r="L30" s="1482"/>
      <c r="M30" s="1482"/>
    </row>
    <row r="31" spans="1:13" ht="28.5" customHeight="1">
      <c r="A31" s="1090" t="s">
        <v>97</v>
      </c>
      <c r="B31" s="1484" t="str">
        <f>'Student &amp; University Support'!B10</f>
        <v>Movie Ticket Sales</v>
      </c>
      <c r="C31" s="1484"/>
      <c r="D31" s="1484"/>
      <c r="E31" s="1484"/>
      <c r="F31" s="1484"/>
      <c r="G31" s="1089">
        <f>'Student &amp; University Support'!H10</f>
        <v>0.02</v>
      </c>
      <c r="H31" s="1486" t="s">
        <v>337</v>
      </c>
      <c r="I31" s="1486"/>
      <c r="J31" s="1486"/>
      <c r="K31" s="1486"/>
      <c r="L31" s="1486"/>
      <c r="M31" s="1486"/>
    </row>
    <row r="32" spans="1:13">
      <c r="A32" s="1413"/>
      <c r="B32" s="1484"/>
      <c r="C32" s="1484"/>
      <c r="D32" s="1484"/>
      <c r="E32" s="1484"/>
      <c r="F32" s="1484"/>
      <c r="G32" s="1088"/>
      <c r="H32" s="1482"/>
      <c r="I32" s="1482"/>
      <c r="J32" s="1482"/>
      <c r="K32" s="1482"/>
      <c r="L32" s="1482"/>
      <c r="M32" s="1482"/>
    </row>
    <row r="33" spans="1:13" ht="24.75" customHeight="1">
      <c r="A33" s="1090" t="s">
        <v>332</v>
      </c>
      <c r="B33" s="1484" t="str">
        <f>'Student &amp; University Support'!B13</f>
        <v>Commissions (Knott'S Ticket Sales)</v>
      </c>
      <c r="C33" s="1484"/>
      <c r="D33" s="1484"/>
      <c r="E33" s="1484"/>
      <c r="F33" s="1484"/>
      <c r="G33" s="1089">
        <f>'Student &amp; University Support'!H13</f>
        <v>0.02</v>
      </c>
      <c r="H33" s="1486" t="s">
        <v>337</v>
      </c>
      <c r="I33" s="1486"/>
      <c r="J33" s="1486"/>
      <c r="K33" s="1486"/>
      <c r="L33" s="1486"/>
      <c r="M33" s="1486"/>
    </row>
    <row r="34" spans="1:13">
      <c r="A34" s="1413"/>
      <c r="B34" s="1484"/>
      <c r="C34" s="1484"/>
      <c r="D34" s="1484"/>
      <c r="E34" s="1484"/>
      <c r="F34" s="1484"/>
      <c r="G34" s="1088"/>
      <c r="H34" s="1482"/>
      <c r="I34" s="1482"/>
      <c r="J34" s="1482"/>
      <c r="K34" s="1482"/>
      <c r="L34" s="1482"/>
      <c r="M34" s="1482"/>
    </row>
    <row r="35" spans="1:13">
      <c r="A35" s="1413"/>
      <c r="B35" s="1485" t="str">
        <f>'Student &amp; University Support'!B17</f>
        <v>Expenses</v>
      </c>
      <c r="C35" s="1485"/>
      <c r="D35" s="1485"/>
      <c r="E35" s="1485"/>
      <c r="F35" s="1485"/>
      <c r="G35" s="1412"/>
      <c r="H35" s="1482"/>
      <c r="I35" s="1482"/>
      <c r="J35" s="1482"/>
      <c r="K35" s="1482"/>
      <c r="L35" s="1482"/>
      <c r="M35" s="1482"/>
    </row>
    <row r="36" spans="1:13" ht="24.75" customHeight="1">
      <c r="A36" s="1090" t="s">
        <v>338</v>
      </c>
      <c r="B36" s="1484" t="str">
        <f>'Student &amp; University Support'!B21</f>
        <v xml:space="preserve">Unrestricted Funding for the Finance Committee </v>
      </c>
      <c r="C36" s="1484"/>
      <c r="D36" s="1484"/>
      <c r="E36" s="1484"/>
      <c r="F36" s="1484"/>
      <c r="G36" s="1089" t="e">
        <f>'Student &amp; University Support'!H21</f>
        <v>#DIV/0!</v>
      </c>
      <c r="H36" s="1486" t="s">
        <v>339</v>
      </c>
      <c r="I36" s="1486"/>
      <c r="J36" s="1486"/>
      <c r="K36" s="1486"/>
      <c r="L36" s="1486"/>
      <c r="M36" s="1486"/>
    </row>
    <row r="37" spans="1:13">
      <c r="B37" s="1478"/>
      <c r="C37" s="1478"/>
      <c r="D37" s="1478"/>
      <c r="E37" s="1478"/>
      <c r="F37" s="1478"/>
      <c r="H37" s="1479"/>
      <c r="I37" s="1479"/>
      <c r="J37" s="1479"/>
      <c r="K37" s="1479"/>
      <c r="L37" s="1479"/>
      <c r="M37" s="1479"/>
    </row>
    <row r="38" spans="1:13">
      <c r="A38" s="922" t="s">
        <v>340</v>
      </c>
      <c r="B38" s="1478" t="str">
        <f>'Student &amp; University Support'!B22</f>
        <v>Programming &amp; Advocacy (Expenses-Other)</v>
      </c>
      <c r="C38" s="1478"/>
      <c r="D38" s="1478"/>
      <c r="E38" s="1478"/>
      <c r="F38" s="1478"/>
      <c r="G38" s="1085">
        <f>'Student &amp; University Support'!H22</f>
        <v>0.02</v>
      </c>
      <c r="H38" s="1482" t="s">
        <v>341</v>
      </c>
      <c r="I38" s="1482"/>
      <c r="J38" s="1482"/>
      <c r="K38" s="1482"/>
      <c r="L38" s="1482"/>
      <c r="M38" s="1482"/>
    </row>
    <row r="39" spans="1:13">
      <c r="B39" s="1478"/>
      <c r="C39" s="1478"/>
      <c r="D39" s="1478"/>
      <c r="E39" s="1478"/>
      <c r="F39" s="1478"/>
      <c r="H39" s="1479"/>
      <c r="I39" s="1479"/>
      <c r="J39" s="1479"/>
      <c r="K39" s="1479"/>
      <c r="L39" s="1479"/>
      <c r="M39" s="1479"/>
    </row>
    <row r="40" spans="1:13">
      <c r="A40" s="922" t="s">
        <v>342</v>
      </c>
      <c r="B40" s="1478" t="str">
        <f>'Student &amp; University Support'!B23</f>
        <v>Marketing and Advertisement</v>
      </c>
      <c r="C40" s="1478"/>
      <c r="D40" s="1478"/>
      <c r="E40" s="1478"/>
      <c r="F40" s="1478"/>
      <c r="G40" s="1085">
        <f>'Student &amp; University Support'!H23</f>
        <v>1.9999999999999993E-2</v>
      </c>
      <c r="H40" s="1482" t="s">
        <v>341</v>
      </c>
      <c r="I40" s="1482"/>
      <c r="J40" s="1482"/>
      <c r="K40" s="1482"/>
      <c r="L40" s="1482"/>
      <c r="M40" s="1482"/>
    </row>
    <row r="41" spans="1:13">
      <c r="B41" s="1478"/>
      <c r="C41" s="1478"/>
      <c r="D41" s="1478"/>
      <c r="E41" s="1478"/>
      <c r="F41" s="1478"/>
      <c r="H41" s="1479"/>
      <c r="I41" s="1479"/>
      <c r="J41" s="1479"/>
      <c r="K41" s="1479"/>
      <c r="L41" s="1479"/>
      <c r="M41" s="1479"/>
    </row>
    <row r="42" spans="1:13">
      <c r="B42" s="1483" t="str">
        <f>'Student &amp; University Support'!B26</f>
        <v>Scholarships &amp; Vouchers</v>
      </c>
      <c r="C42" s="1483"/>
      <c r="D42" s="1483"/>
      <c r="E42" s="1483"/>
      <c r="F42" s="1483"/>
      <c r="G42" s="1411"/>
      <c r="H42" s="1479"/>
      <c r="I42" s="1479"/>
      <c r="J42" s="1479"/>
      <c r="K42" s="1479"/>
      <c r="L42" s="1479"/>
      <c r="M42" s="1479"/>
    </row>
    <row r="43" spans="1:13">
      <c r="A43" s="922" t="s">
        <v>343</v>
      </c>
      <c r="B43" s="1478" t="str">
        <f>'Student &amp; University Support'!B27</f>
        <v>Student Book Voucher Program</v>
      </c>
      <c r="C43" s="1478"/>
      <c r="D43" s="1478"/>
      <c r="E43" s="1478"/>
      <c r="F43" s="1478"/>
      <c r="G43" s="1085">
        <f>'Student &amp; University Support'!H27</f>
        <v>0.02</v>
      </c>
      <c r="H43" s="1482" t="s">
        <v>341</v>
      </c>
      <c r="I43" s="1482"/>
      <c r="J43" s="1482"/>
      <c r="K43" s="1482"/>
      <c r="L43" s="1482"/>
      <c r="M43" s="1482"/>
    </row>
    <row r="44" spans="1:13">
      <c r="B44" s="1478"/>
      <c r="C44" s="1478"/>
      <c r="D44" s="1478"/>
      <c r="E44" s="1478"/>
      <c r="F44" s="1478"/>
      <c r="H44" s="1479"/>
      <c r="I44" s="1479"/>
      <c r="J44" s="1479"/>
      <c r="K44" s="1479"/>
      <c r="L44" s="1479"/>
      <c r="M44" s="1479"/>
    </row>
    <row r="45" spans="1:13">
      <c r="A45" s="922" t="s">
        <v>344</v>
      </c>
      <c r="B45" s="1478" t="str">
        <f>'Student &amp; University Support'!B28</f>
        <v>Committee Permits/Vouchers</v>
      </c>
      <c r="C45" s="1478"/>
      <c r="D45" s="1478"/>
      <c r="E45" s="1478"/>
      <c r="F45" s="1478"/>
      <c r="G45" s="1085">
        <f>'Student &amp; University Support'!H28</f>
        <v>0.02</v>
      </c>
      <c r="H45" s="1482" t="s">
        <v>341</v>
      </c>
      <c r="I45" s="1482"/>
      <c r="J45" s="1482"/>
      <c r="K45" s="1482"/>
      <c r="L45" s="1482"/>
      <c r="M45" s="1482"/>
    </row>
    <row r="46" spans="1:13">
      <c r="B46" s="1478"/>
      <c r="C46" s="1478"/>
      <c r="D46" s="1478"/>
      <c r="E46" s="1478"/>
      <c r="F46" s="1478"/>
      <c r="H46" s="1479"/>
      <c r="I46" s="1479"/>
      <c r="J46" s="1479"/>
      <c r="K46" s="1479"/>
      <c r="L46" s="1479"/>
      <c r="M46" s="1479"/>
    </row>
    <row r="47" spans="1:13">
      <c r="B47" s="1478"/>
      <c r="C47" s="1478"/>
      <c r="D47" s="1478"/>
      <c r="E47" s="1478"/>
      <c r="F47" s="1478"/>
      <c r="H47" s="1479"/>
      <c r="I47" s="1479"/>
      <c r="J47" s="1479"/>
      <c r="K47" s="1479"/>
      <c r="L47" s="1479"/>
      <c r="M47" s="1479"/>
    </row>
    <row r="48" spans="1:13">
      <c r="B48" s="1478"/>
      <c r="C48" s="1478"/>
      <c r="D48" s="1478"/>
      <c r="E48" s="1478"/>
      <c r="F48" s="1478"/>
      <c r="H48" s="1479"/>
      <c r="I48" s="1479"/>
      <c r="J48" s="1479"/>
      <c r="K48" s="1479"/>
      <c r="L48" s="1479"/>
      <c r="M48" s="1479"/>
    </row>
    <row r="49" spans="2:13">
      <c r="B49" s="1478"/>
      <c r="C49" s="1478"/>
      <c r="D49" s="1478"/>
      <c r="E49" s="1478"/>
      <c r="F49" s="1478"/>
      <c r="H49" s="1479"/>
      <c r="I49" s="1479"/>
      <c r="J49" s="1479"/>
      <c r="K49" s="1479"/>
      <c r="L49" s="1479"/>
      <c r="M49" s="1479"/>
    </row>
  </sheetData>
  <mergeCells count="98">
    <mergeCell ref="H2:M2"/>
    <mergeCell ref="B4:F4"/>
    <mergeCell ref="H4:M4"/>
    <mergeCell ref="H8:M8"/>
    <mergeCell ref="B5:F5"/>
    <mergeCell ref="H5:M5"/>
    <mergeCell ref="B6:F6"/>
    <mergeCell ref="H6:M6"/>
    <mergeCell ref="B7:F7"/>
    <mergeCell ref="H7:M7"/>
    <mergeCell ref="B9:F9"/>
    <mergeCell ref="H9:M9"/>
    <mergeCell ref="B10:F10"/>
    <mergeCell ref="H10:M10"/>
    <mergeCell ref="B11:F11"/>
    <mergeCell ref="H11:M11"/>
    <mergeCell ref="B17:F17"/>
    <mergeCell ref="H17:M17"/>
    <mergeCell ref="B12:F12"/>
    <mergeCell ref="H12:M12"/>
    <mergeCell ref="H13:M13"/>
    <mergeCell ref="B14:F14"/>
    <mergeCell ref="H14:M14"/>
    <mergeCell ref="B21:F21"/>
    <mergeCell ref="H21:M21"/>
    <mergeCell ref="A2:F2"/>
    <mergeCell ref="A13:F13"/>
    <mergeCell ref="B3:F3"/>
    <mergeCell ref="H3:M3"/>
    <mergeCell ref="B18:F18"/>
    <mergeCell ref="H18:M18"/>
    <mergeCell ref="B19:F19"/>
    <mergeCell ref="H19:M19"/>
    <mergeCell ref="B20:F20"/>
    <mergeCell ref="H20:M20"/>
    <mergeCell ref="B15:F15"/>
    <mergeCell ref="H15:M15"/>
    <mergeCell ref="B16:F16"/>
    <mergeCell ref="H16:M16"/>
    <mergeCell ref="B29:F29"/>
    <mergeCell ref="H29:M29"/>
    <mergeCell ref="B30:F30"/>
    <mergeCell ref="H30:M30"/>
    <mergeCell ref="B25:F25"/>
    <mergeCell ref="H25:M25"/>
    <mergeCell ref="H26:M26"/>
    <mergeCell ref="B27:F27"/>
    <mergeCell ref="H27:M27"/>
    <mergeCell ref="A26:F26"/>
    <mergeCell ref="B24:F24"/>
    <mergeCell ref="H22:M22"/>
    <mergeCell ref="H23:M23"/>
    <mergeCell ref="H24:M24"/>
    <mergeCell ref="B28:F28"/>
    <mergeCell ref="H28:M28"/>
    <mergeCell ref="B22:F22"/>
    <mergeCell ref="B23:F23"/>
    <mergeCell ref="B31:F31"/>
    <mergeCell ref="H31:M31"/>
    <mergeCell ref="B32:F32"/>
    <mergeCell ref="H32:M32"/>
    <mergeCell ref="B33:F33"/>
    <mergeCell ref="H33:M33"/>
    <mergeCell ref="B34:F34"/>
    <mergeCell ref="H34:M34"/>
    <mergeCell ref="B35:F35"/>
    <mergeCell ref="H35:M35"/>
    <mergeCell ref="B36:F36"/>
    <mergeCell ref="H36:M36"/>
    <mergeCell ref="B37:F37"/>
    <mergeCell ref="H37:M37"/>
    <mergeCell ref="B38:F38"/>
    <mergeCell ref="H38:M38"/>
    <mergeCell ref="B39:F39"/>
    <mergeCell ref="H39:M39"/>
    <mergeCell ref="H45:M45"/>
    <mergeCell ref="B40:F40"/>
    <mergeCell ref="H40:M40"/>
    <mergeCell ref="B41:F41"/>
    <mergeCell ref="H41:M41"/>
    <mergeCell ref="B42:F42"/>
    <mergeCell ref="H42:M42"/>
    <mergeCell ref="B49:F49"/>
    <mergeCell ref="H49:M49"/>
    <mergeCell ref="G2:G3"/>
    <mergeCell ref="G13:G14"/>
    <mergeCell ref="G26:G27"/>
    <mergeCell ref="B46:F46"/>
    <mergeCell ref="H46:M46"/>
    <mergeCell ref="B47:F47"/>
    <mergeCell ref="H47:M47"/>
    <mergeCell ref="B48:F48"/>
    <mergeCell ref="H48:M48"/>
    <mergeCell ref="B43:F43"/>
    <mergeCell ref="H43:M43"/>
    <mergeCell ref="B44:F44"/>
    <mergeCell ref="H44:M44"/>
    <mergeCell ref="B45:F45"/>
  </mergeCells>
  <pageMargins left="0.75" right="0.75" top="1" bottom="1" header="0.5" footer="0.5"/>
  <pageSetup scale="65"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5"/>
  <sheetViews>
    <sheetView workbookViewId="0">
      <selection activeCell="L29" sqref="L29"/>
    </sheetView>
  </sheetViews>
  <sheetFormatPr defaultRowHeight="12.75"/>
  <sheetData>
    <row r="5" spans="12:12">
      <c r="L5" s="373"/>
    </row>
  </sheetData>
  <phoneticPr fontId="0" type="noConversion"/>
  <pageMargins left="0.25" right="0.25" top="0.2" bottom="0.2" header="0.5" footer="0.5"/>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
  <sheetViews>
    <sheetView workbookViewId="0">
      <selection activeCell="M39" sqref="M39"/>
    </sheetView>
  </sheetViews>
  <sheetFormatPr defaultRowHeight="12.75"/>
  <sheetData>
    <row r="5" spans="12:12">
      <c r="L5" s="373"/>
    </row>
  </sheetData>
  <pageMargins left="0.7" right="0.7" top="0.75" bottom="0.75" header="0.3" footer="0.3"/>
  <pageSetup scale="9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L5"/>
  <sheetViews>
    <sheetView zoomScale="106" zoomScaleNormal="106" workbookViewId="0">
      <selection activeCell="M9" sqref="M9"/>
    </sheetView>
  </sheetViews>
  <sheetFormatPr defaultRowHeight="12.75"/>
  <sheetData>
    <row r="5" spans="12:12">
      <c r="L5" s="373"/>
    </row>
  </sheetData>
  <phoneticPr fontId="57" type="noConversion"/>
  <pageMargins left="0.75" right="0.75" top="1" bottom="1" header="0.5" footer="0.5"/>
  <pageSetup scale="8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5:N15"/>
  <sheetViews>
    <sheetView topLeftCell="A4" workbookViewId="0">
      <selection activeCell="M14" sqref="M14"/>
    </sheetView>
  </sheetViews>
  <sheetFormatPr defaultRowHeight="12.75"/>
  <sheetData>
    <row r="5" spans="12:14">
      <c r="L5" s="373"/>
    </row>
    <row r="15" spans="12:14" ht="14.25">
      <c r="N15" s="578"/>
    </row>
  </sheetData>
  <phoneticPr fontId="85" type="noConversion"/>
  <pageMargins left="0.7" right="0.7" top="0.75" bottom="0.75" header="0.3" footer="0.3"/>
  <pageSetup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39997558519241921"/>
    <pageSetUpPr fitToPage="1"/>
  </sheetPr>
  <dimension ref="A5:I49"/>
  <sheetViews>
    <sheetView topLeftCell="A14" zoomScale="80" zoomScaleNormal="80" workbookViewId="0">
      <selection activeCell="G22" sqref="G22"/>
    </sheetView>
  </sheetViews>
  <sheetFormatPr defaultColWidth="8.86328125" defaultRowHeight="12.75"/>
  <cols>
    <col min="1" max="1" width="8.86328125" customWidth="1"/>
    <col min="2" max="2" width="3.1328125" customWidth="1"/>
    <col min="3" max="3" width="1.1328125" customWidth="1"/>
    <col min="4" max="4" width="6.1328125" customWidth="1"/>
    <col min="5" max="6" width="8.86328125" customWidth="1"/>
    <col min="7" max="7" width="72.3984375" customWidth="1"/>
  </cols>
  <sheetData>
    <row r="5" spans="2:7" ht="24.75">
      <c r="G5" s="35" t="s">
        <v>0</v>
      </c>
    </row>
    <row r="6" spans="2:7" ht="24.75">
      <c r="G6" s="35" t="s">
        <v>1</v>
      </c>
    </row>
    <row r="7" spans="2:7" ht="24.75">
      <c r="D7" s="35"/>
    </row>
    <row r="8" spans="2:7" ht="24.75">
      <c r="D8" s="35"/>
    </row>
    <row r="9" spans="2:7" ht="24.75">
      <c r="D9" s="35"/>
    </row>
    <row r="10" spans="2:7" ht="24.75">
      <c r="D10" s="35"/>
    </row>
    <row r="11" spans="2:7" ht="24.75">
      <c r="D11" s="35"/>
    </row>
    <row r="12" spans="2:7" ht="24.75">
      <c r="D12" s="35"/>
    </row>
    <row r="13" spans="2:7" ht="24.75">
      <c r="D13" s="35"/>
    </row>
    <row r="14" spans="2:7" ht="45.4">
      <c r="D14" s="36"/>
      <c r="G14" s="583"/>
    </row>
    <row r="16" spans="2:7" ht="25.15">
      <c r="B16" s="37"/>
      <c r="C16" s="37"/>
      <c r="G16" s="1210"/>
    </row>
    <row r="17" spans="1:9" ht="24.75">
      <c r="B17" s="37"/>
      <c r="C17" s="37"/>
      <c r="G17" s="453" t="s">
        <v>2</v>
      </c>
      <c r="I17" s="1351"/>
    </row>
    <row r="18" spans="1:9" ht="24.75">
      <c r="B18" s="37"/>
      <c r="C18" s="37"/>
      <c r="G18" s="453"/>
    </row>
    <row r="19" spans="1:9">
      <c r="B19" s="37"/>
      <c r="C19" s="37"/>
    </row>
    <row r="20" spans="1:9" ht="20.65">
      <c r="B20" s="37"/>
      <c r="C20" s="37"/>
      <c r="G20" s="486"/>
    </row>
    <row r="21" spans="1:9" ht="22.15">
      <c r="B21" s="37"/>
      <c r="C21" s="37"/>
      <c r="G21" s="485">
        <v>43056</v>
      </c>
    </row>
    <row r="22" spans="1:9" ht="21.4" customHeight="1">
      <c r="B22" s="37"/>
      <c r="C22" s="37"/>
      <c r="G22" s="1210" t="s">
        <v>3</v>
      </c>
    </row>
    <row r="23" spans="1:9" ht="13.15">
      <c r="B23" s="37"/>
      <c r="C23" s="37"/>
      <c r="G23" s="197"/>
    </row>
    <row r="24" spans="1:9" ht="20.65">
      <c r="B24" s="37"/>
      <c r="C24" s="37"/>
      <c r="F24" t="s">
        <v>4</v>
      </c>
      <c r="G24" s="583"/>
    </row>
    <row r="25" spans="1:9">
      <c r="B25" s="37"/>
      <c r="C25" s="37"/>
      <c r="G25" s="37"/>
    </row>
    <row r="26" spans="1:9">
      <c r="B26" s="37"/>
      <c r="C26" s="37"/>
      <c r="G26" s="37"/>
    </row>
    <row r="27" spans="1:9">
      <c r="A27" s="37"/>
      <c r="B27" s="38"/>
      <c r="C27" s="38"/>
      <c r="D27" s="37"/>
      <c r="G27" s="39"/>
    </row>
    <row r="28" spans="1:9">
      <c r="A28" s="37"/>
      <c r="B28" s="38"/>
      <c r="C28" s="38"/>
      <c r="D28" s="37"/>
      <c r="G28" s="39"/>
    </row>
    <row r="45" spans="7:7" ht="13.5">
      <c r="G45" s="461"/>
    </row>
    <row r="46" spans="7:7">
      <c r="G46" s="373"/>
    </row>
    <row r="47" spans="7:7" ht="13.5">
      <c r="G47" s="461"/>
    </row>
    <row r="48" spans="7:7" ht="15">
      <c r="G48" s="2"/>
    </row>
    <row r="49" spans="7:7" ht="15">
      <c r="G49" s="2"/>
    </row>
  </sheetData>
  <phoneticPr fontId="57" type="noConversion"/>
  <pageMargins left="0.75" right="0.75" top="1" bottom="1" header="0.5" footer="0.5"/>
  <pageSetup paperSize="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sheetPr>
  <dimension ref="B1:O124"/>
  <sheetViews>
    <sheetView zoomScale="90" zoomScaleNormal="90" workbookViewId="0">
      <selection activeCell="E5" sqref="E5"/>
    </sheetView>
  </sheetViews>
  <sheetFormatPr defaultColWidth="8.86328125" defaultRowHeight="12.75"/>
  <cols>
    <col min="1" max="1" width="4.265625" customWidth="1"/>
    <col min="2" max="2" width="69.59765625" customWidth="1"/>
    <col min="3" max="3" width="22.3984375" customWidth="1"/>
    <col min="4" max="4" width="16.1328125" style="71" customWidth="1"/>
    <col min="5" max="5" width="21.265625" style="71" customWidth="1"/>
    <col min="6" max="6" width="26.73046875" customWidth="1"/>
    <col min="7" max="7" width="20" customWidth="1"/>
    <col min="8" max="8" width="17.1328125" customWidth="1"/>
    <col min="9" max="9" width="16.86328125" style="70" customWidth="1"/>
    <col min="10" max="10" width="11.59765625" customWidth="1"/>
    <col min="11" max="11" width="14" hidden="1" customWidth="1"/>
    <col min="12" max="12" width="15.86328125" style="37" hidden="1" customWidth="1"/>
    <col min="13" max="13" width="16.3984375" hidden="1" customWidth="1"/>
    <col min="14" max="14" width="14.1328125" customWidth="1"/>
  </cols>
  <sheetData>
    <row r="1" spans="2:13" ht="27.75">
      <c r="B1" s="287" t="s">
        <v>5</v>
      </c>
      <c r="C1" s="391" t="s">
        <v>6</v>
      </c>
      <c r="D1" s="366" t="s">
        <v>7</v>
      </c>
      <c r="E1" s="409" t="s">
        <v>8</v>
      </c>
      <c r="F1" s="1422" t="str">
        <f>'Cover Sheet'!G17</f>
        <v>2018-19 Referendum Budget</v>
      </c>
      <c r="G1" s="1423"/>
      <c r="H1" s="1423"/>
      <c r="I1" s="45" t="s">
        <v>9</v>
      </c>
      <c r="J1" s="44" t="s">
        <v>9</v>
      </c>
      <c r="K1" s="44" t="s">
        <v>9</v>
      </c>
      <c r="L1" s="46"/>
      <c r="M1" s="47"/>
    </row>
    <row r="2" spans="2:13" ht="20.65">
      <c r="B2" s="290" t="s">
        <v>10</v>
      </c>
      <c r="C2" s="367" t="s">
        <v>11</v>
      </c>
      <c r="D2" s="367" t="s">
        <v>11</v>
      </c>
      <c r="E2" s="405" t="s">
        <v>12</v>
      </c>
      <c r="F2" s="583"/>
      <c r="H2" s="43" t="s">
        <v>13</v>
      </c>
      <c r="I2" s="45" t="s">
        <v>14</v>
      </c>
      <c r="J2" s="43" t="s">
        <v>14</v>
      </c>
      <c r="K2" s="43" t="s">
        <v>15</v>
      </c>
      <c r="L2" s="49" t="s">
        <v>16</v>
      </c>
      <c r="M2" s="47"/>
    </row>
    <row r="3" spans="2:13" s="53" customFormat="1" ht="12" thickBot="1">
      <c r="B3" s="406"/>
      <c r="C3" s="390" t="s">
        <v>17</v>
      </c>
      <c r="D3" s="394" t="s">
        <v>18</v>
      </c>
      <c r="E3" s="408" t="s">
        <v>19</v>
      </c>
      <c r="G3" s="54"/>
      <c r="H3" s="54" t="s">
        <v>18</v>
      </c>
      <c r="I3" s="55" t="s">
        <v>18</v>
      </c>
      <c r="J3" s="54" t="s">
        <v>18</v>
      </c>
      <c r="K3" s="54" t="s">
        <v>18</v>
      </c>
      <c r="L3" s="54"/>
      <c r="M3" s="47"/>
    </row>
    <row r="4" spans="2:13">
      <c r="C4" s="56"/>
      <c r="D4" s="57"/>
      <c r="E4" s="56"/>
      <c r="G4" s="56"/>
      <c r="H4" s="58"/>
      <c r="I4" s="59"/>
      <c r="J4" s="58"/>
      <c r="K4" s="58"/>
      <c r="L4" s="58"/>
      <c r="M4" s="47"/>
    </row>
    <row r="5" spans="2:13">
      <c r="B5" s="484" t="s">
        <v>20</v>
      </c>
      <c r="C5" s="248">
        <f>+H17</f>
        <v>3</v>
      </c>
      <c r="D5" s="248">
        <f>I30</f>
        <v>65567.25</v>
      </c>
      <c r="E5" s="248">
        <f>+C5+D5</f>
        <v>65570.25</v>
      </c>
      <c r="G5" s="61"/>
      <c r="H5" s="62"/>
      <c r="I5" s="63"/>
      <c r="J5" s="64"/>
      <c r="K5" s="64" t="s">
        <v>21</v>
      </c>
      <c r="L5" s="58" t="s">
        <v>22</v>
      </c>
      <c r="M5" s="47"/>
    </row>
    <row r="6" spans="2:13">
      <c r="B6" s="484" t="s">
        <v>23</v>
      </c>
      <c r="C6" s="248">
        <f>+H18</f>
        <v>733</v>
      </c>
      <c r="D6" s="248">
        <f>I31</f>
        <v>373623.25</v>
      </c>
      <c r="E6" s="248">
        <f>+C6+D6</f>
        <v>374356.25</v>
      </c>
      <c r="G6" s="61"/>
      <c r="H6" s="62"/>
      <c r="I6" s="63"/>
      <c r="J6" s="64"/>
      <c r="K6" s="281">
        <v>162770</v>
      </c>
      <c r="L6" s="58"/>
      <c r="M6" s="47"/>
    </row>
    <row r="7" spans="2:13">
      <c r="B7" s="484" t="s">
        <v>24</v>
      </c>
      <c r="C7" s="248">
        <f>+H19</f>
        <v>519</v>
      </c>
      <c r="D7" s="248">
        <f>I32</f>
        <v>317417.25</v>
      </c>
      <c r="E7" s="248">
        <f>+C7+D7+0.03</f>
        <v>317936.28000000003</v>
      </c>
      <c r="G7" s="61"/>
      <c r="H7" s="62"/>
      <c r="I7" s="63"/>
      <c r="J7" s="64"/>
      <c r="K7" s="281">
        <v>388975</v>
      </c>
      <c r="L7" s="58"/>
      <c r="M7" s="47"/>
    </row>
    <row r="8" spans="2:13">
      <c r="B8" s="484" t="s">
        <v>25</v>
      </c>
      <c r="C8" s="248">
        <f>+H20</f>
        <v>137</v>
      </c>
      <c r="D8" s="248">
        <f>I33</f>
        <v>315416.94</v>
      </c>
      <c r="E8" s="248">
        <f>+C8+D8</f>
        <v>315553.94</v>
      </c>
      <c r="G8" s="61"/>
      <c r="H8" s="62"/>
      <c r="I8" s="65"/>
      <c r="J8" s="64"/>
      <c r="K8" s="281">
        <v>335802</v>
      </c>
      <c r="L8" s="58"/>
      <c r="M8" s="47"/>
    </row>
    <row r="9" spans="2:13">
      <c r="B9" s="60"/>
      <c r="C9" s="248"/>
      <c r="D9" s="248"/>
      <c r="E9" s="248"/>
      <c r="G9" s="61"/>
      <c r="H9" s="66"/>
      <c r="I9" s="67"/>
      <c r="J9" s="66"/>
      <c r="K9" s="281">
        <v>341073</v>
      </c>
      <c r="L9" s="58"/>
      <c r="M9" s="47"/>
    </row>
    <row r="10" spans="2:13">
      <c r="B10" s="60" t="s">
        <v>26</v>
      </c>
      <c r="C10" s="248">
        <f>+SUM(C5:C8)</f>
        <v>1392</v>
      </c>
      <c r="D10" s="248">
        <f>+SUM(D5:D8)</f>
        <v>1072024.69</v>
      </c>
      <c r="E10" s="248">
        <f>SUM(C10:D10)</f>
        <v>1073416.69</v>
      </c>
      <c r="G10" s="61"/>
      <c r="H10" s="66"/>
      <c r="I10" s="67"/>
      <c r="J10" s="66"/>
      <c r="K10" s="66">
        <f>SUM(K6:K9)</f>
        <v>1228620</v>
      </c>
      <c r="L10" s="68">
        <v>1237939</v>
      </c>
      <c r="M10" s="128">
        <f>K10-L10</f>
        <v>-9319</v>
      </c>
    </row>
    <row r="11" spans="2:13">
      <c r="D11" s="69"/>
      <c r="E11" s="69"/>
      <c r="M11" s="47"/>
    </row>
    <row r="12" spans="2:13" ht="13.15" thickBot="1">
      <c r="B12" s="60" t="s">
        <v>27</v>
      </c>
      <c r="M12" s="47"/>
    </row>
    <row r="13" spans="2:13" ht="27.75">
      <c r="B13" s="287" t="s">
        <v>28</v>
      </c>
      <c r="C13" s="366" t="s">
        <v>29</v>
      </c>
      <c r="D13" s="402" t="s">
        <v>29</v>
      </c>
      <c r="E13" s="366" t="s">
        <v>30</v>
      </c>
      <c r="F13" s="403" t="s">
        <v>9</v>
      </c>
      <c r="G13" s="366" t="s">
        <v>29</v>
      </c>
      <c r="H13" s="400" t="s">
        <v>31</v>
      </c>
      <c r="J13" s="46"/>
      <c r="L13" s="46"/>
      <c r="M13" s="47"/>
    </row>
    <row r="14" spans="2:13" ht="15">
      <c r="B14" s="290" t="s">
        <v>10</v>
      </c>
      <c r="C14" s="367" t="s">
        <v>32</v>
      </c>
      <c r="D14" s="404" t="s">
        <v>6</v>
      </c>
      <c r="E14" s="367" t="s">
        <v>33</v>
      </c>
      <c r="F14" s="405" t="s">
        <v>14</v>
      </c>
      <c r="G14" s="367" t="s">
        <v>12</v>
      </c>
      <c r="H14" s="401" t="s">
        <v>34</v>
      </c>
      <c r="J14" s="46"/>
      <c r="L14" s="46"/>
      <c r="M14" s="47"/>
    </row>
    <row r="15" spans="2:13" s="53" customFormat="1" ht="12" thickBot="1">
      <c r="B15" s="406"/>
      <c r="C15" s="390" t="s">
        <v>17</v>
      </c>
      <c r="D15" s="407" t="s">
        <v>18</v>
      </c>
      <c r="E15" s="390" t="s">
        <v>35</v>
      </c>
      <c r="F15" s="408" t="s">
        <v>36</v>
      </c>
      <c r="G15" s="390" t="s">
        <v>37</v>
      </c>
      <c r="H15" s="390" t="s">
        <v>38</v>
      </c>
      <c r="I15" s="72"/>
      <c r="J15" s="54"/>
      <c r="L15" s="54"/>
      <c r="M15" s="47"/>
    </row>
    <row r="16" spans="2:13">
      <c r="C16" s="56"/>
      <c r="D16" s="57"/>
      <c r="E16" s="56"/>
      <c r="F16" s="56"/>
      <c r="G16" s="56"/>
      <c r="H16" s="56"/>
      <c r="J16" s="56"/>
      <c r="L16" s="58"/>
      <c r="M16" s="47"/>
    </row>
    <row r="17" spans="2:13">
      <c r="B17" s="60" t="str">
        <f>B5</f>
        <v>Summer 2010, (2010 Actual)</v>
      </c>
      <c r="C17" s="73">
        <f>E30</f>
        <v>3801</v>
      </c>
      <c r="D17" s="74">
        <f>D30/C30</f>
        <v>7.8864353312302837E-4</v>
      </c>
      <c r="E17" s="75">
        <f>D30</f>
        <v>3</v>
      </c>
      <c r="F17" s="61">
        <v>1</v>
      </c>
      <c r="G17" s="76">
        <f>F17*E17</f>
        <v>3</v>
      </c>
      <c r="H17" s="76">
        <f>+G17</f>
        <v>3</v>
      </c>
      <c r="J17" s="278"/>
      <c r="L17" s="58"/>
      <c r="M17" s="47"/>
    </row>
    <row r="18" spans="2:13">
      <c r="B18" s="60" t="str">
        <f>B6</f>
        <v>Fall 2010, (2010 Actual)</v>
      </c>
      <c r="C18" s="73">
        <f>E31</f>
        <v>19409</v>
      </c>
      <c r="D18" s="74">
        <f>D31/C31</f>
        <v>3.6391619501539074E-2</v>
      </c>
      <c r="E18" s="75">
        <f>D31</f>
        <v>733</v>
      </c>
      <c r="F18" s="61">
        <v>1</v>
      </c>
      <c r="G18" s="76">
        <f>F18*E18</f>
        <v>733</v>
      </c>
      <c r="H18" s="76">
        <f>+G18</f>
        <v>733</v>
      </c>
      <c r="J18" s="61"/>
      <c r="L18" s="58"/>
      <c r="M18" s="47"/>
    </row>
    <row r="19" spans="2:13">
      <c r="B19" s="60" t="str">
        <f>B7</f>
        <v>Winter 2011, (2011 Actual)</v>
      </c>
      <c r="C19" s="73">
        <f>E32</f>
        <v>18401</v>
      </c>
      <c r="D19" s="74">
        <f>D32/C32</f>
        <v>2.7431289640591966E-2</v>
      </c>
      <c r="E19" s="75">
        <f>D32</f>
        <v>519</v>
      </c>
      <c r="F19" s="61">
        <v>1</v>
      </c>
      <c r="G19" s="76">
        <f>F19*E19</f>
        <v>519</v>
      </c>
      <c r="H19" s="76">
        <f>+G19</f>
        <v>519</v>
      </c>
      <c r="J19" s="61"/>
      <c r="L19" s="58"/>
      <c r="M19" s="47"/>
    </row>
    <row r="20" spans="2:13">
      <c r="B20" s="60" t="str">
        <f>B8</f>
        <v>Spring 2011, (Based on IR projection of 18,798 less 2% reduction)</v>
      </c>
      <c r="C20" s="73">
        <f>E33</f>
        <v>18285.04</v>
      </c>
      <c r="D20" s="74">
        <f>D33/C33</f>
        <v>7.4367442476511829E-3</v>
      </c>
      <c r="E20" s="75">
        <f>D33</f>
        <v>137</v>
      </c>
      <c r="F20" s="61">
        <v>1</v>
      </c>
      <c r="G20" s="76">
        <f>F20*E20</f>
        <v>137</v>
      </c>
      <c r="H20" s="76">
        <f>+G20</f>
        <v>137</v>
      </c>
      <c r="J20" s="61"/>
      <c r="L20" s="58"/>
      <c r="M20" s="47"/>
    </row>
    <row r="21" spans="2:13">
      <c r="B21" s="60"/>
      <c r="D21" s="74"/>
      <c r="E21" s="75"/>
      <c r="F21" s="61"/>
      <c r="G21" s="76"/>
      <c r="H21" s="76"/>
      <c r="J21" s="61"/>
      <c r="L21" s="58"/>
      <c r="M21" s="47"/>
    </row>
    <row r="22" spans="2:13">
      <c r="B22" s="60" t="str">
        <f>B10</f>
        <v>FY 2010/2011</v>
      </c>
      <c r="C22" s="77">
        <f>+SUM(C17:C20)</f>
        <v>59896.04</v>
      </c>
      <c r="D22" s="74">
        <f>+AVERAGE(D17:D20)</f>
        <v>1.8012074230726313E-2</v>
      </c>
      <c r="E22" s="78">
        <f>+SUM(E17:E20)</f>
        <v>1392</v>
      </c>
      <c r="F22" s="61">
        <v>1</v>
      </c>
      <c r="G22" s="76">
        <f>F22*E22</f>
        <v>1392</v>
      </c>
      <c r="H22" s="76">
        <f>+G22</f>
        <v>1392</v>
      </c>
      <c r="J22" s="61"/>
      <c r="L22" s="68"/>
      <c r="M22" s="47"/>
    </row>
    <row r="23" spans="2:13">
      <c r="D23" s="69"/>
      <c r="E23"/>
      <c r="M23" s="47"/>
    </row>
    <row r="24" spans="2:13" ht="13.15" thickBot="1">
      <c r="B24" s="79" t="str">
        <f>B12</f>
        <v>These numbers are based on 09-10 actual headcount for Summer Fall, Winter, &amp; Spring is Projected</v>
      </c>
      <c r="M24" s="47"/>
    </row>
    <row r="25" spans="2:13" ht="27.75">
      <c r="B25" s="295" t="s">
        <v>39</v>
      </c>
      <c r="C25" s="366" t="s">
        <v>29</v>
      </c>
      <c r="D25" s="391" t="s">
        <v>29</v>
      </c>
      <c r="E25" s="366" t="s">
        <v>40</v>
      </c>
      <c r="F25" s="366" t="s">
        <v>41</v>
      </c>
      <c r="G25" s="395" t="s">
        <v>9</v>
      </c>
      <c r="H25" s="396" t="s">
        <v>29</v>
      </c>
      <c r="I25" s="400" t="s">
        <v>31</v>
      </c>
      <c r="J25" s="46"/>
      <c r="L25" s="46"/>
      <c r="M25" s="47"/>
    </row>
    <row r="26" spans="2:13" ht="15">
      <c r="B26" s="296" t="s">
        <v>10</v>
      </c>
      <c r="C26" s="367" t="s">
        <v>32</v>
      </c>
      <c r="D26" s="392" t="s">
        <v>6</v>
      </c>
      <c r="E26" s="367" t="s">
        <v>42</v>
      </c>
      <c r="F26" s="367" t="s">
        <v>43</v>
      </c>
      <c r="G26" s="367" t="s">
        <v>14</v>
      </c>
      <c r="H26" s="397" t="s">
        <v>12</v>
      </c>
      <c r="I26" s="401" t="s">
        <v>34</v>
      </c>
      <c r="J26" s="46"/>
      <c r="L26" s="46"/>
      <c r="M26" s="47"/>
    </row>
    <row r="27" spans="2:13" s="53" customFormat="1" ht="11.65">
      <c r="B27" s="387"/>
      <c r="C27" s="389"/>
      <c r="D27" s="393"/>
      <c r="E27" s="389"/>
      <c r="F27" s="368" t="s">
        <v>44</v>
      </c>
      <c r="G27" s="389" t="s">
        <v>36</v>
      </c>
      <c r="H27" s="398" t="s">
        <v>45</v>
      </c>
      <c r="I27" s="389" t="s">
        <v>38</v>
      </c>
      <c r="J27" s="54"/>
      <c r="L27" s="54"/>
      <c r="M27" s="47"/>
    </row>
    <row r="28" spans="2:13" s="53" customFormat="1" ht="12" thickBot="1">
      <c r="B28" s="388"/>
      <c r="C28" s="390" t="s">
        <v>17</v>
      </c>
      <c r="D28" s="394" t="s">
        <v>18</v>
      </c>
      <c r="E28" s="390" t="s">
        <v>46</v>
      </c>
      <c r="F28" s="369" t="s">
        <v>47</v>
      </c>
      <c r="G28" s="390"/>
      <c r="H28" s="399"/>
      <c r="I28" s="390"/>
      <c r="J28" s="54"/>
      <c r="L28" s="54"/>
      <c r="M28" s="47"/>
    </row>
    <row r="29" spans="2:13" ht="13.15" thickBot="1">
      <c r="C29" s="56"/>
      <c r="D29" s="80"/>
      <c r="E29" s="56"/>
      <c r="F29" s="81"/>
      <c r="G29" s="56"/>
      <c r="H29" s="82"/>
      <c r="I29" s="56"/>
      <c r="J29" s="56"/>
      <c r="L29" s="58"/>
      <c r="M29" s="47"/>
    </row>
    <row r="30" spans="2:13">
      <c r="B30" s="259" t="str">
        <f>B17</f>
        <v>Summer 2010, (2010 Actual)</v>
      </c>
      <c r="C30" s="260">
        <v>3804</v>
      </c>
      <c r="D30" s="261">
        <v>3</v>
      </c>
      <c r="E30" s="374">
        <f>+C30-D30</f>
        <v>3801</v>
      </c>
      <c r="F30" s="267">
        <f>(E30*0%)+E30</f>
        <v>3801</v>
      </c>
      <c r="G30" s="61">
        <v>17.25</v>
      </c>
      <c r="H30" s="248">
        <f>+F30*G30</f>
        <v>65567.25</v>
      </c>
      <c r="I30" s="248">
        <f>+H30</f>
        <v>65567.25</v>
      </c>
      <c r="J30" s="61"/>
      <c r="L30" s="58"/>
      <c r="M30" s="47"/>
    </row>
    <row r="31" spans="2:13">
      <c r="B31" s="262" t="str">
        <f>B18</f>
        <v>Fall 2010, (2010 Actual)</v>
      </c>
      <c r="C31" s="263">
        <v>20142</v>
      </c>
      <c r="D31" s="264">
        <v>733</v>
      </c>
      <c r="E31" s="375">
        <f>+C31-D31</f>
        <v>19409</v>
      </c>
      <c r="F31" s="268">
        <f>(E31*0%)+E31</f>
        <v>19409</v>
      </c>
      <c r="G31" s="61">
        <v>19.25</v>
      </c>
      <c r="H31" s="248">
        <f>+F31*G31</f>
        <v>373623.25</v>
      </c>
      <c r="I31" s="248">
        <f>+H31</f>
        <v>373623.25</v>
      </c>
      <c r="J31" s="61"/>
      <c r="L31" s="58"/>
      <c r="M31" s="47"/>
    </row>
    <row r="32" spans="2:13">
      <c r="B32" s="262" t="str">
        <f>B19</f>
        <v>Winter 2011, (2011 Actual)</v>
      </c>
      <c r="C32" s="263">
        <v>18920</v>
      </c>
      <c r="D32" s="264">
        <v>519</v>
      </c>
      <c r="E32" s="375">
        <f>+C32-D32</f>
        <v>18401</v>
      </c>
      <c r="F32" s="268">
        <f>(E32*0%)+E32</f>
        <v>18401</v>
      </c>
      <c r="G32" s="61">
        <v>17.25</v>
      </c>
      <c r="H32" s="248">
        <f>+F32*G32</f>
        <v>317417.25</v>
      </c>
      <c r="I32" s="248">
        <f>+H32</f>
        <v>317417.25</v>
      </c>
      <c r="J32" s="61"/>
      <c r="L32" s="58"/>
      <c r="M32" s="47"/>
    </row>
    <row r="33" spans="2:15" ht="13.5" thickBot="1">
      <c r="B33" s="265" t="str">
        <f>B20</f>
        <v>Spring 2011, (Based on IR projection of 18,798 less 2% reduction)</v>
      </c>
      <c r="C33" s="376">
        <f>18798-F39</f>
        <v>18422.04</v>
      </c>
      <c r="D33" s="266">
        <v>137</v>
      </c>
      <c r="E33" s="377">
        <f>+C33-D33</f>
        <v>18285.04</v>
      </c>
      <c r="F33" s="269">
        <f>(E33*0%)+E33</f>
        <v>18285.04</v>
      </c>
      <c r="G33" s="61">
        <v>17.25</v>
      </c>
      <c r="H33" s="248">
        <f>+F33*G33</f>
        <v>315416.94</v>
      </c>
      <c r="I33" s="248">
        <f>+H33</f>
        <v>315416.94</v>
      </c>
      <c r="J33" s="61"/>
      <c r="L33" s="58"/>
      <c r="M33" s="47"/>
    </row>
    <row r="34" spans="2:15">
      <c r="B34" s="60"/>
      <c r="D34" s="84"/>
      <c r="E34" s="75"/>
      <c r="G34" s="61"/>
      <c r="H34" s="248"/>
      <c r="I34" s="248"/>
      <c r="J34" s="61"/>
      <c r="L34" s="58"/>
      <c r="M34" s="47"/>
    </row>
    <row r="35" spans="2:15">
      <c r="B35" s="60" t="str">
        <f>B22</f>
        <v>FY 2010/2011</v>
      </c>
      <c r="C35" s="77">
        <f>+SUM(C30:C33)</f>
        <v>61288.04</v>
      </c>
      <c r="D35" s="84">
        <f>E22</f>
        <v>1392</v>
      </c>
      <c r="E35" s="78">
        <f>C35-D35</f>
        <v>59896.04</v>
      </c>
      <c r="G35" s="61">
        <f>SUM(H30:H33)/C35</f>
        <v>17.491580575916604</v>
      </c>
      <c r="H35" s="248">
        <f>+G35*C35</f>
        <v>1072024.69</v>
      </c>
      <c r="I35" s="248">
        <f>+H35</f>
        <v>1072024.69</v>
      </c>
      <c r="J35" s="61"/>
      <c r="L35" s="68"/>
      <c r="M35" s="47"/>
    </row>
    <row r="36" spans="2:15" ht="13.15" thickBot="1">
      <c r="B36" s="60"/>
      <c r="C36" s="77"/>
      <c r="D36" s="84"/>
      <c r="E36" s="84"/>
      <c r="F36" s="579"/>
      <c r="G36" s="78"/>
      <c r="H36" s="83"/>
      <c r="I36" s="85"/>
      <c r="J36" s="61"/>
      <c r="K36" s="61"/>
      <c r="L36" s="68"/>
      <c r="M36" s="47"/>
    </row>
    <row r="37" spans="2:15" ht="27.75">
      <c r="B37" s="40"/>
      <c r="C37" s="42" t="s">
        <v>48</v>
      </c>
      <c r="D37" s="41" t="s">
        <v>49</v>
      </c>
      <c r="E37" s="41"/>
      <c r="F37" s="582" t="s">
        <v>50</v>
      </c>
      <c r="L37" s="86"/>
      <c r="M37" s="86"/>
      <c r="N37" s="87"/>
      <c r="O37" s="88"/>
    </row>
    <row r="38" spans="2:15" ht="15">
      <c r="B38" s="48" t="s">
        <v>51</v>
      </c>
      <c r="C38" s="42" t="s">
        <v>52</v>
      </c>
      <c r="D38" s="41" t="s">
        <v>53</v>
      </c>
      <c r="E38" s="41"/>
      <c r="F38" s="580">
        <f>19255*2%</f>
        <v>385.1</v>
      </c>
      <c r="L38" s="86"/>
      <c r="M38" s="86"/>
      <c r="N38" s="87"/>
      <c r="O38" s="88"/>
    </row>
    <row r="39" spans="2:15" ht="13.15" thickBot="1">
      <c r="B39" s="50"/>
      <c r="C39" s="51" t="s">
        <v>38</v>
      </c>
      <c r="D39" s="52" t="s">
        <v>38</v>
      </c>
      <c r="E39" s="52"/>
      <c r="F39" s="581">
        <f>18798*2%</f>
        <v>375.96</v>
      </c>
      <c r="L39" s="86"/>
      <c r="M39" s="86"/>
      <c r="N39" s="87"/>
      <c r="O39" s="88"/>
    </row>
    <row r="40" spans="2:15">
      <c r="C40" s="56"/>
      <c r="D40" s="80"/>
      <c r="E40" s="80"/>
      <c r="F40" s="464"/>
      <c r="L40" s="86"/>
      <c r="M40" s="86"/>
      <c r="N40" s="87"/>
      <c r="O40" s="88"/>
    </row>
    <row r="41" spans="2:15">
      <c r="B41" s="60" t="s">
        <v>54</v>
      </c>
      <c r="C41" s="89">
        <v>0.55000000000000004</v>
      </c>
      <c r="D41" s="249">
        <f>D46*0.55</f>
        <v>0</v>
      </c>
      <c r="E41" s="90"/>
      <c r="L41" s="86"/>
      <c r="M41" s="86"/>
      <c r="N41" s="87"/>
      <c r="O41" s="88"/>
    </row>
    <row r="42" spans="2:15" ht="12" customHeight="1">
      <c r="B42" s="60" t="s">
        <v>55</v>
      </c>
      <c r="C42" s="89">
        <v>0.1</v>
      </c>
      <c r="D42" s="249">
        <f>D46*0.1</f>
        <v>0</v>
      </c>
      <c r="E42" s="90"/>
      <c r="F42" s="480"/>
      <c r="G42" s="481"/>
      <c r="H42" s="91"/>
      <c r="I42" s="92"/>
      <c r="L42" s="86"/>
      <c r="M42" s="86"/>
      <c r="N42" s="87"/>
      <c r="O42" s="88"/>
    </row>
    <row r="43" spans="2:15" ht="15">
      <c r="B43" s="60" t="s">
        <v>56</v>
      </c>
      <c r="C43" s="89">
        <v>0.2</v>
      </c>
      <c r="D43" s="249">
        <f>D46*0.2</f>
        <v>0</v>
      </c>
      <c r="E43" s="90"/>
      <c r="F43" s="482"/>
      <c r="G43" s="483"/>
      <c r="H43" s="91"/>
      <c r="I43" s="92"/>
      <c r="L43" s="86"/>
      <c r="M43" s="86"/>
      <c r="N43" s="87"/>
      <c r="O43" s="88"/>
    </row>
    <row r="44" spans="2:15" ht="15.4">
      <c r="B44" s="60" t="s">
        <v>57</v>
      </c>
      <c r="C44" s="89">
        <v>0.15</v>
      </c>
      <c r="D44" s="249">
        <f>D46*0.15</f>
        <v>0</v>
      </c>
      <c r="E44" s="90"/>
      <c r="F44" s="1352"/>
      <c r="G44" s="1353"/>
      <c r="H44" s="91"/>
      <c r="I44" s="92"/>
      <c r="L44" s="86"/>
      <c r="M44" s="86"/>
      <c r="N44" s="87"/>
      <c r="O44" s="88"/>
    </row>
    <row r="45" spans="2:15" ht="15">
      <c r="B45" s="60"/>
      <c r="D45" s="249"/>
      <c r="E45" s="90"/>
      <c r="F45" s="585"/>
      <c r="G45" s="586"/>
      <c r="H45" s="94"/>
      <c r="I45" s="92"/>
      <c r="L45" s="86"/>
      <c r="M45" s="86"/>
      <c r="N45" s="87"/>
      <c r="O45" s="88"/>
    </row>
    <row r="46" spans="2:15" ht="15">
      <c r="B46" s="60" t="s">
        <v>58</v>
      </c>
      <c r="C46" s="77" t="s">
        <v>38</v>
      </c>
      <c r="D46" s="249">
        <f>'4Yr Projection'!E43</f>
        <v>0</v>
      </c>
      <c r="E46" s="90"/>
      <c r="F46" s="585"/>
      <c r="G46" s="586"/>
      <c r="H46" s="94"/>
      <c r="I46" s="95"/>
      <c r="L46" s="96"/>
      <c r="M46" s="88"/>
      <c r="N46" s="88"/>
      <c r="O46" s="88"/>
    </row>
    <row r="47" spans="2:15" ht="15.4" thickBot="1">
      <c r="B47" s="60"/>
      <c r="C47" s="77"/>
      <c r="D47" s="90"/>
      <c r="E47" s="90"/>
      <c r="F47" s="97"/>
      <c r="G47" s="93"/>
      <c r="H47" s="94"/>
      <c r="I47" s="95"/>
      <c r="L47" s="96"/>
      <c r="M47" s="88"/>
      <c r="N47" s="88"/>
      <c r="O47" s="88"/>
    </row>
    <row r="48" spans="2:15" ht="15.4">
      <c r="B48" s="255" t="s">
        <v>59</v>
      </c>
      <c r="C48" s="256"/>
      <c r="D48" s="257"/>
      <c r="E48" s="258"/>
      <c r="F48" s="1352"/>
      <c r="G48" s="1354"/>
      <c r="H48" s="94"/>
      <c r="I48" s="95"/>
      <c r="L48" s="96"/>
      <c r="M48" s="88"/>
      <c r="N48" s="88"/>
      <c r="O48" s="88"/>
    </row>
    <row r="49" spans="2:15">
      <c r="B49" s="1415" t="s">
        <v>60</v>
      </c>
      <c r="C49" s="1416"/>
      <c r="D49" s="1416"/>
      <c r="E49" s="1417"/>
      <c r="F49" s="585"/>
      <c r="G49" s="586"/>
      <c r="H49" s="99"/>
      <c r="I49" s="99"/>
      <c r="J49" s="88"/>
      <c r="L49" s="100"/>
      <c r="M49" s="100"/>
      <c r="N49" s="88"/>
      <c r="O49" s="88"/>
    </row>
    <row r="50" spans="2:15">
      <c r="B50" s="1418"/>
      <c r="C50" s="1416"/>
      <c r="D50" s="1416"/>
      <c r="E50" s="1417"/>
      <c r="F50" s="585"/>
      <c r="G50" s="586"/>
      <c r="H50" s="99"/>
      <c r="I50" s="99"/>
      <c r="L50" s="86"/>
      <c r="M50" s="86"/>
      <c r="N50" s="88"/>
      <c r="O50" s="88"/>
    </row>
    <row r="51" spans="2:15">
      <c r="B51" s="1418"/>
      <c r="C51" s="1416"/>
      <c r="D51" s="1416"/>
      <c r="E51" s="1417"/>
      <c r="F51" s="98"/>
      <c r="G51" s="99"/>
      <c r="H51" s="99"/>
      <c r="I51" s="99"/>
      <c r="L51" s="86"/>
      <c r="M51" s="86"/>
      <c r="N51" s="88"/>
      <c r="O51" s="88"/>
    </row>
    <row r="52" spans="2:15">
      <c r="B52" s="1418"/>
      <c r="C52" s="1416"/>
      <c r="D52" s="1416"/>
      <c r="E52" s="1417"/>
      <c r="F52" s="98"/>
      <c r="G52" s="99"/>
      <c r="H52" s="99"/>
      <c r="I52" s="99"/>
      <c r="L52" s="86"/>
      <c r="M52" s="86"/>
      <c r="N52" s="88"/>
      <c r="O52" s="88"/>
    </row>
    <row r="53" spans="2:15">
      <c r="B53" s="1418"/>
      <c r="C53" s="1416"/>
      <c r="D53" s="1416"/>
      <c r="E53" s="1417"/>
      <c r="F53" s="91"/>
      <c r="G53" s="91"/>
      <c r="H53" s="91"/>
      <c r="I53" s="101"/>
      <c r="L53" s="86"/>
      <c r="M53" s="86"/>
      <c r="N53" s="88"/>
      <c r="O53" s="88"/>
    </row>
    <row r="54" spans="2:15">
      <c r="B54" s="1418"/>
      <c r="C54" s="1416"/>
      <c r="D54" s="1416"/>
      <c r="E54" s="1417"/>
      <c r="F54" s="91"/>
      <c r="G54" s="91"/>
      <c r="H54" s="91"/>
      <c r="L54" s="86"/>
      <c r="M54" s="86"/>
      <c r="N54" s="87"/>
      <c r="O54" s="88"/>
    </row>
    <row r="55" spans="2:15" ht="13.15" thickBot="1">
      <c r="B55" s="1419"/>
      <c r="C55" s="1420"/>
      <c r="D55" s="1420"/>
      <c r="E55" s="1421"/>
      <c r="F55" s="96"/>
      <c r="G55" s="96"/>
      <c r="H55" s="91"/>
      <c r="L55" s="96"/>
      <c r="M55" s="88"/>
      <c r="N55" s="88"/>
      <c r="O55" s="88"/>
    </row>
    <row r="56" spans="2:15">
      <c r="C56" s="102"/>
      <c r="D56" s="103"/>
      <c r="E56" s="104" t="s">
        <v>61</v>
      </c>
      <c r="F56" s="91"/>
      <c r="G56" s="91"/>
      <c r="H56" s="91"/>
      <c r="L56" s="100"/>
      <c r="M56" s="100"/>
      <c r="N56" s="88"/>
      <c r="O56" s="88"/>
    </row>
    <row r="57" spans="2:15">
      <c r="C57" s="102"/>
      <c r="D57" s="103"/>
      <c r="E57" s="103"/>
      <c r="F57" s="91"/>
      <c r="G57" s="91"/>
      <c r="H57" s="91"/>
      <c r="L57" s="86"/>
      <c r="M57" s="86"/>
      <c r="N57" s="88"/>
      <c r="O57" s="88"/>
    </row>
    <row r="58" spans="2:15">
      <c r="C58" s="102"/>
      <c r="D58" s="103"/>
      <c r="E58" s="103"/>
      <c r="F58" s="91"/>
      <c r="G58" s="91"/>
      <c r="H58" s="91"/>
      <c r="L58" s="86"/>
      <c r="M58" s="86"/>
      <c r="N58" s="88"/>
      <c r="O58" s="88"/>
    </row>
    <row r="59" spans="2:15">
      <c r="C59" s="102"/>
      <c r="D59" s="91"/>
      <c r="E59" s="91"/>
      <c r="F59" s="91"/>
      <c r="G59" s="91"/>
      <c r="H59" s="91"/>
      <c r="L59" s="86"/>
      <c r="M59" s="86"/>
      <c r="N59" s="88"/>
      <c r="O59" s="88"/>
    </row>
    <row r="60" spans="2:15">
      <c r="C60" s="102"/>
      <c r="D60" s="105"/>
      <c r="E60" s="105"/>
      <c r="F60" s="96"/>
      <c r="G60" s="96"/>
      <c r="H60" s="91"/>
      <c r="L60" s="86"/>
      <c r="M60" s="86"/>
      <c r="N60" s="88"/>
      <c r="O60" s="88"/>
    </row>
    <row r="61" spans="2:15">
      <c r="C61" s="102"/>
      <c r="D61" s="105"/>
      <c r="E61" s="105"/>
      <c r="F61" s="91"/>
      <c r="G61" s="91"/>
      <c r="H61" s="91"/>
      <c r="L61" s="86"/>
      <c r="M61" s="86"/>
      <c r="N61" s="87"/>
      <c r="O61" s="88"/>
    </row>
    <row r="62" spans="2:15">
      <c r="C62" s="102"/>
      <c r="D62" s="105"/>
      <c r="E62" s="105"/>
      <c r="F62" s="91"/>
      <c r="G62" s="91"/>
      <c r="H62" s="91"/>
      <c r="L62" s="96"/>
      <c r="M62" s="88"/>
      <c r="N62" s="88"/>
      <c r="O62" s="88"/>
    </row>
    <row r="63" spans="2:15">
      <c r="C63" s="102"/>
      <c r="D63" s="105"/>
      <c r="E63" s="105"/>
      <c r="F63" s="91"/>
      <c r="G63" s="91"/>
      <c r="H63" s="91"/>
      <c r="L63" s="106"/>
    </row>
    <row r="64" spans="2:15">
      <c r="C64" s="102"/>
      <c r="D64" s="105"/>
      <c r="E64" s="105"/>
      <c r="F64" s="91"/>
      <c r="G64" s="91"/>
      <c r="H64" s="91"/>
      <c r="L64" s="106"/>
    </row>
    <row r="65" spans="2:13" ht="15">
      <c r="C65" s="102"/>
      <c r="D65" s="105"/>
      <c r="E65" s="105"/>
      <c r="F65" s="96"/>
      <c r="G65" s="96"/>
      <c r="H65" s="91"/>
      <c r="L65" s="46"/>
      <c r="M65" s="47"/>
    </row>
    <row r="66" spans="2:13">
      <c r="C66" s="102"/>
      <c r="D66" s="105"/>
      <c r="E66" s="105"/>
      <c r="F66" s="91"/>
      <c r="G66" s="91"/>
      <c r="H66" s="91"/>
    </row>
    <row r="67" spans="2:13" s="53" customFormat="1">
      <c r="B67"/>
      <c r="C67" s="102"/>
      <c r="D67" s="105"/>
      <c r="E67" s="105"/>
      <c r="F67" s="91"/>
      <c r="G67" s="91"/>
      <c r="H67" s="91"/>
      <c r="I67" s="70"/>
      <c r="J67"/>
      <c r="K67"/>
    </row>
    <row r="68" spans="2:13">
      <c r="C68" s="102"/>
      <c r="D68" s="105"/>
      <c r="E68" s="105"/>
      <c r="F68" s="91"/>
      <c r="G68" s="91"/>
      <c r="H68" s="91"/>
    </row>
    <row r="69" spans="2:13">
      <c r="C69" s="102"/>
      <c r="D69" s="91"/>
      <c r="E69" s="91"/>
      <c r="F69" s="91"/>
      <c r="G69" s="91"/>
      <c r="H69" s="91"/>
    </row>
    <row r="70" spans="2:13">
      <c r="C70" s="102"/>
      <c r="D70" s="105"/>
      <c r="E70" s="105"/>
      <c r="F70" s="96"/>
      <c r="G70" s="96"/>
      <c r="H70" s="91"/>
    </row>
    <row r="71" spans="2:13">
      <c r="C71" s="102"/>
      <c r="D71" s="105"/>
      <c r="E71" s="105"/>
      <c r="F71" s="91"/>
      <c r="G71" s="91"/>
      <c r="H71" s="91"/>
    </row>
    <row r="72" spans="2:13">
      <c r="C72" s="102"/>
      <c r="D72" s="105"/>
      <c r="E72" s="105"/>
      <c r="F72" s="91"/>
      <c r="G72" s="91"/>
      <c r="H72" s="91"/>
    </row>
    <row r="73" spans="2:13">
      <c r="C73" s="102"/>
      <c r="D73" s="105"/>
      <c r="E73" s="105"/>
      <c r="F73" s="91"/>
      <c r="G73" s="91"/>
      <c r="H73" s="91"/>
    </row>
    <row r="74" spans="2:13">
      <c r="C74" s="107"/>
      <c r="D74" s="108"/>
      <c r="E74" s="108"/>
    </row>
    <row r="75" spans="2:13">
      <c r="B75" s="37"/>
      <c r="C75" s="109"/>
      <c r="D75" s="110"/>
      <c r="E75" s="110"/>
    </row>
    <row r="76" spans="2:13" ht="27.75">
      <c r="B76" s="111"/>
      <c r="C76" s="43"/>
      <c r="D76" s="112"/>
      <c r="E76" s="112"/>
    </row>
    <row r="77" spans="2:13" ht="15">
      <c r="B77" s="113"/>
      <c r="C77" s="43"/>
      <c r="D77" s="112"/>
      <c r="E77" s="112"/>
    </row>
    <row r="78" spans="2:13">
      <c r="B78" s="114"/>
      <c r="C78" s="54"/>
      <c r="D78" s="115"/>
      <c r="E78" s="115"/>
    </row>
    <row r="79" spans="2:13">
      <c r="B79" s="37"/>
      <c r="C79" s="58"/>
      <c r="D79" s="116"/>
      <c r="E79" s="116"/>
    </row>
    <row r="80" spans="2:13">
      <c r="B80" s="117"/>
      <c r="C80" s="118"/>
      <c r="D80" s="119"/>
      <c r="E80" s="119"/>
    </row>
    <row r="81" spans="2:12">
      <c r="B81" s="117"/>
      <c r="C81" s="118"/>
      <c r="D81" s="119"/>
      <c r="E81" s="119"/>
    </row>
    <row r="82" spans="2:12">
      <c r="B82" s="117"/>
      <c r="C82" s="118"/>
      <c r="D82" s="119"/>
      <c r="E82" s="119"/>
      <c r="F82" s="108"/>
      <c r="G82" s="108"/>
    </row>
    <row r="83" spans="2:12">
      <c r="B83" s="117"/>
      <c r="C83" s="118"/>
      <c r="D83" s="119"/>
      <c r="E83" s="119"/>
    </row>
    <row r="84" spans="2:12">
      <c r="B84" s="117"/>
      <c r="C84" s="37"/>
      <c r="D84" s="119"/>
      <c r="E84" s="119"/>
    </row>
    <row r="85" spans="2:12">
      <c r="B85" s="117"/>
      <c r="C85" s="120"/>
      <c r="D85" s="119"/>
      <c r="E85" s="119"/>
    </row>
    <row r="86" spans="2:12">
      <c r="B86" s="37"/>
      <c r="C86" s="109"/>
      <c r="D86" s="37"/>
      <c r="E86" s="37"/>
    </row>
    <row r="87" spans="2:12">
      <c r="B87" s="37"/>
      <c r="C87" s="109"/>
      <c r="D87" s="110"/>
      <c r="E87" s="110"/>
    </row>
    <row r="88" spans="2:12">
      <c r="C88" s="107"/>
      <c r="D88" s="108"/>
      <c r="E88" s="108"/>
    </row>
    <row r="89" spans="2:12">
      <c r="C89" s="107"/>
      <c r="D89" s="108"/>
      <c r="E89" s="108"/>
    </row>
    <row r="90" spans="2:12">
      <c r="C90" s="107"/>
      <c r="D90" s="108"/>
      <c r="E90" s="108"/>
    </row>
    <row r="91" spans="2:12">
      <c r="C91" s="107"/>
      <c r="D91"/>
      <c r="E91"/>
    </row>
    <row r="92" spans="2:12">
      <c r="C92" s="107"/>
      <c r="D92" s="108"/>
      <c r="E92" s="108"/>
    </row>
    <row r="93" spans="2:12">
      <c r="C93" s="107"/>
      <c r="D93" s="108"/>
      <c r="E93" s="108"/>
    </row>
    <row r="94" spans="2:12">
      <c r="C94" s="107"/>
      <c r="D94" s="108"/>
      <c r="E94" s="108"/>
    </row>
    <row r="95" spans="2:12">
      <c r="C95" s="107"/>
      <c r="D95" s="108"/>
      <c r="E95" s="108"/>
      <c r="L95"/>
    </row>
    <row r="96" spans="2:12">
      <c r="C96" s="107"/>
      <c r="D96"/>
      <c r="E96"/>
      <c r="L96"/>
    </row>
    <row r="97" spans="3:13">
      <c r="C97" s="107"/>
      <c r="D97" s="108"/>
      <c r="E97" s="108"/>
      <c r="L97" s="47"/>
      <c r="M97" s="47"/>
    </row>
    <row r="98" spans="3:13">
      <c r="C98" s="107"/>
      <c r="D98" s="108"/>
      <c r="E98" s="108"/>
      <c r="L98" s="121"/>
      <c r="M98" s="75"/>
    </row>
    <row r="99" spans="3:13">
      <c r="C99" s="107"/>
      <c r="D99" s="108"/>
      <c r="E99" s="108"/>
      <c r="L99" s="108"/>
      <c r="M99" s="75"/>
    </row>
    <row r="100" spans="3:13">
      <c r="C100" s="107"/>
      <c r="D100" s="108"/>
      <c r="E100" s="108"/>
      <c r="L100" s="108"/>
      <c r="M100" s="75"/>
    </row>
    <row r="101" spans="3:13">
      <c r="C101" s="107"/>
      <c r="D101"/>
      <c r="E101"/>
      <c r="L101" s="108"/>
      <c r="M101" s="75"/>
    </row>
    <row r="102" spans="3:13">
      <c r="C102" s="107"/>
      <c r="D102" s="108"/>
      <c r="E102" s="108"/>
      <c r="L102" s="108"/>
      <c r="M102" s="75"/>
    </row>
    <row r="103" spans="3:13">
      <c r="D103" s="108"/>
      <c r="E103" s="108"/>
      <c r="L103" s="108"/>
      <c r="M103" s="75"/>
    </row>
    <row r="104" spans="3:13">
      <c r="D104" s="108"/>
      <c r="E104" s="108"/>
      <c r="L104" s="108"/>
      <c r="M104" s="75"/>
    </row>
    <row r="105" spans="3:13">
      <c r="D105" s="108"/>
      <c r="E105" s="108"/>
      <c r="L105" s="108"/>
      <c r="M105" s="75"/>
    </row>
    <row r="106" spans="3:13">
      <c r="L106" s="108"/>
      <c r="M106" s="75"/>
    </row>
    <row r="107" spans="3:13">
      <c r="L107" s="108"/>
      <c r="M107" s="75"/>
    </row>
    <row r="108" spans="3:13">
      <c r="L108" s="108"/>
      <c r="M108" s="75"/>
    </row>
    <row r="109" spans="3:13">
      <c r="L109" s="108"/>
      <c r="M109" s="75"/>
    </row>
    <row r="110" spans="3:13">
      <c r="L110" s="108"/>
      <c r="M110" s="75"/>
    </row>
    <row r="111" spans="3:13">
      <c r="L111"/>
    </row>
    <row r="112" spans="3:13">
      <c r="L112"/>
    </row>
    <row r="113" spans="12:12">
      <c r="L113"/>
    </row>
    <row r="114" spans="12:12">
      <c r="L114"/>
    </row>
    <row r="115" spans="12:12">
      <c r="L115"/>
    </row>
    <row r="116" spans="12:12">
      <c r="L116"/>
    </row>
    <row r="117" spans="12:12">
      <c r="L117"/>
    </row>
    <row r="118" spans="12:12">
      <c r="L118"/>
    </row>
    <row r="119" spans="12:12">
      <c r="L119"/>
    </row>
    <row r="120" spans="12:12">
      <c r="L120"/>
    </row>
    <row r="121" spans="12:12">
      <c r="L121"/>
    </row>
    <row r="122" spans="12:12">
      <c r="L122"/>
    </row>
    <row r="123" spans="12:12">
      <c r="L123"/>
    </row>
    <row r="124" spans="12:12">
      <c r="L124"/>
    </row>
  </sheetData>
  <mergeCells count="2">
    <mergeCell ref="B49:E55"/>
    <mergeCell ref="F1:H1"/>
  </mergeCells>
  <phoneticPr fontId="57" type="noConversion"/>
  <pageMargins left="0.5" right="0.25" top="0.25" bottom="0.25" header="0.5" footer="0.5"/>
  <pageSetup paperSize="5" scale="7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IV83"/>
  <sheetViews>
    <sheetView topLeftCell="A7" workbookViewId="0">
      <selection activeCell="K31" sqref="K31"/>
    </sheetView>
  </sheetViews>
  <sheetFormatPr defaultColWidth="8.86328125" defaultRowHeight="12.75"/>
  <cols>
    <col min="1" max="1" width="6.1328125" customWidth="1"/>
    <col min="2" max="2" width="37.1328125" customWidth="1"/>
    <col min="3" max="3" width="28.1328125" hidden="1" customWidth="1"/>
    <col min="4" max="4" width="2.3984375" hidden="1" customWidth="1"/>
    <col min="5" max="5" width="27" style="126" hidden="1" customWidth="1"/>
    <col min="6" max="6" width="16.1328125" style="126" hidden="1" customWidth="1"/>
    <col min="7" max="7" width="9.265625" style="124" customWidth="1"/>
    <col min="8" max="8" width="4.1328125" customWidth="1"/>
    <col min="9" max="9" width="10.73046875" customWidth="1"/>
    <col min="10" max="11" width="13.1328125" customWidth="1"/>
    <col min="12" max="12" width="9.3984375" customWidth="1"/>
  </cols>
  <sheetData>
    <row r="1" spans="2:256" ht="15">
      <c r="B1" s="699" t="str">
        <f>'Cover Sheet'!G17</f>
        <v>2018-19 Referendum Budget</v>
      </c>
      <c r="C1" s="382"/>
      <c r="D1" s="694"/>
      <c r="E1" s="383"/>
      <c r="F1" s="343"/>
      <c r="G1" s="349"/>
    </row>
    <row r="2" spans="2:256" ht="27.75">
      <c r="B2" s="365" t="s">
        <v>62</v>
      </c>
      <c r="C2" s="384" t="str">
        <f>Administration!E2</f>
        <v>2017-18</v>
      </c>
      <c r="D2" s="695"/>
      <c r="E2" s="385" t="str">
        <f>Administration!F2</f>
        <v>Proposed Operating Budget</v>
      </c>
      <c r="F2" s="341" t="s">
        <v>63</v>
      </c>
      <c r="G2" s="350" t="s">
        <v>64</v>
      </c>
    </row>
    <row r="3" spans="2:256" ht="15.4" thickBot="1">
      <c r="B3" s="297" t="s">
        <v>10</v>
      </c>
      <c r="C3" s="386" t="str">
        <f>Administration!E3</f>
        <v>Approved Operating Budget</v>
      </c>
      <c r="D3" s="337"/>
      <c r="E3" s="305" t="str">
        <f>Administration!F3</f>
        <v>(2% Inc. for Salary &amp; Op Exp)</v>
      </c>
      <c r="F3" s="342" t="s">
        <v>65</v>
      </c>
      <c r="G3" s="355" t="s">
        <v>66</v>
      </c>
    </row>
    <row r="4" spans="2:256" ht="12.75" customHeight="1">
      <c r="B4" s="187"/>
      <c r="C4" s="122"/>
      <c r="D4" s="122"/>
      <c r="E4" s="123"/>
      <c r="F4" s="123"/>
      <c r="G4" s="351"/>
      <c r="H4" s="61"/>
      <c r="I4" s="61"/>
    </row>
    <row r="5" spans="2:256" ht="13.15" thickBot="1">
      <c r="B5" s="188" t="s">
        <v>67</v>
      </c>
      <c r="C5" s="189"/>
      <c r="D5" s="189"/>
      <c r="E5" s="127"/>
      <c r="F5" s="127"/>
      <c r="G5" s="351"/>
      <c r="H5" s="61"/>
      <c r="I5" s="61"/>
    </row>
    <row r="6" spans="2:256">
      <c r="B6" s="190" t="s">
        <v>68</v>
      </c>
      <c r="C6" s="235">
        <f>'[1]Revenue &amp; Investments'!$F$6</f>
        <v>62449</v>
      </c>
      <c r="D6" s="696" t="s">
        <v>69</v>
      </c>
      <c r="E6" s="432">
        <v>0</v>
      </c>
      <c r="F6" s="235">
        <v>0</v>
      </c>
      <c r="G6" s="352">
        <f>+F6/C6</f>
        <v>0</v>
      </c>
      <c r="J6" s="121"/>
      <c r="K6" s="121"/>
    </row>
    <row r="7" spans="2:256">
      <c r="B7" s="190" t="s">
        <v>70</v>
      </c>
      <c r="C7" s="235">
        <f>'[1]Revenue &amp; Investments'!$F$7</f>
        <v>367947</v>
      </c>
      <c r="D7" s="696" t="s">
        <v>69</v>
      </c>
      <c r="E7" s="433">
        <v>0</v>
      </c>
      <c r="F7" s="235">
        <v>0</v>
      </c>
      <c r="G7" s="352">
        <f>+F7/C7</f>
        <v>0</v>
      </c>
      <c r="J7" s="121"/>
      <c r="K7" s="121"/>
    </row>
    <row r="8" spans="2:256">
      <c r="B8" s="190" t="s">
        <v>71</v>
      </c>
      <c r="C8" s="235">
        <f>'[1]Revenue &amp; Investments'!$F$8</f>
        <v>326798.03000000003</v>
      </c>
      <c r="D8" s="696" t="s">
        <v>69</v>
      </c>
      <c r="E8" s="433">
        <v>0</v>
      </c>
      <c r="F8" s="235">
        <v>0</v>
      </c>
      <c r="G8" s="352">
        <f>+F8/C8</f>
        <v>0</v>
      </c>
      <c r="J8" s="121"/>
      <c r="K8" s="121"/>
    </row>
    <row r="9" spans="2:256">
      <c r="B9" s="190" t="s">
        <v>72</v>
      </c>
      <c r="C9" s="235">
        <f>'[1]Revenue &amp; Investments'!$F$9</f>
        <v>324291</v>
      </c>
      <c r="D9" s="696" t="s">
        <v>69</v>
      </c>
      <c r="E9" s="433">
        <v>0</v>
      </c>
      <c r="F9" s="235">
        <v>0</v>
      </c>
      <c r="G9" s="352">
        <f>+F9/C9</f>
        <v>0</v>
      </c>
      <c r="J9" s="121"/>
      <c r="K9" s="121"/>
    </row>
    <row r="10" spans="2:256">
      <c r="B10" s="700" t="s">
        <v>73</v>
      </c>
      <c r="C10" s="235"/>
      <c r="D10" s="235"/>
      <c r="E10" s="433"/>
      <c r="F10" s="235"/>
      <c r="G10" s="352"/>
      <c r="L10" s="279"/>
    </row>
    <row r="11" spans="2:256">
      <c r="B11" s="191" t="s">
        <v>74</v>
      </c>
      <c r="C11" s="236">
        <f>+SUM(C6:C9)-1</f>
        <v>1081484.03</v>
      </c>
      <c r="D11" s="236"/>
      <c r="E11" s="434">
        <f>C57</f>
        <v>1116881.28</v>
      </c>
      <c r="F11" s="236">
        <f>E11-C11</f>
        <v>35397.25</v>
      </c>
      <c r="G11" s="353">
        <f>+F11/C11</f>
        <v>3.273025677503532E-2</v>
      </c>
    </row>
    <row r="12" spans="2:256">
      <c r="B12" s="192"/>
      <c r="C12" s="237"/>
      <c r="D12" s="237"/>
      <c r="E12" s="433"/>
      <c r="F12" s="235"/>
      <c r="G12" s="352"/>
      <c r="L12" s="279"/>
    </row>
    <row r="13" spans="2:256">
      <c r="B13" s="188" t="s">
        <v>75</v>
      </c>
      <c r="C13" s="238"/>
      <c r="D13" s="238"/>
      <c r="E13" s="433"/>
      <c r="F13" s="235"/>
      <c r="G13" s="352"/>
      <c r="J13" s="237"/>
      <c r="K13" s="237"/>
    </row>
    <row r="14" spans="2:256">
      <c r="B14" s="135" t="str">
        <f>'Student &amp; University Support'!B6</f>
        <v>Interest Income, Los Angeles Investment Fund (L.A.I.F.), &amp; Unrealized Gain/Loss</v>
      </c>
      <c r="C14" s="235">
        <f>'Student &amp; University Support'!E6</f>
        <v>8000</v>
      </c>
      <c r="D14" s="235"/>
      <c r="E14" s="433">
        <f>'Student &amp; University Support'!F15</f>
        <v>27387</v>
      </c>
      <c r="F14" s="235">
        <f>+E14-C14</f>
        <v>19387</v>
      </c>
      <c r="G14" s="352">
        <f>+F14/C14</f>
        <v>2.4233750000000001</v>
      </c>
      <c r="J14" s="87"/>
      <c r="K14" s="87"/>
      <c r="L14" s="925"/>
    </row>
    <row r="15" spans="2:256">
      <c r="B15" s="135" t="s">
        <v>76</v>
      </c>
      <c r="C15" s="235">
        <f>'Student Service Center'!E14</f>
        <v>3946</v>
      </c>
      <c r="D15" s="235"/>
      <c r="E15" s="433" t="e">
        <f>Administration!#REF!</f>
        <v>#REF!</v>
      </c>
      <c r="F15" s="235" t="e">
        <f>+E15-C15</f>
        <v>#REF!</v>
      </c>
      <c r="G15" s="352" t="e">
        <f>+F15/C15</f>
        <v>#REF!</v>
      </c>
      <c r="J15" s="121"/>
      <c r="K15" s="121"/>
      <c r="L15" s="925"/>
    </row>
    <row r="16" spans="2:256" s="88" customFormat="1">
      <c r="B16" s="135" t="s">
        <v>77</v>
      </c>
      <c r="C16" s="235">
        <v>0</v>
      </c>
      <c r="D16" s="235"/>
      <c r="E16" s="465">
        <v>0</v>
      </c>
      <c r="F16" s="235">
        <f>+E16-C16</f>
        <v>0</v>
      </c>
      <c r="G16" s="352" t="e">
        <f>+F16/C16</f>
        <v>#DIV/0!</v>
      </c>
      <c r="J16" s="136"/>
      <c r="K16" s="136"/>
      <c r="L16" s="234"/>
      <c r="M16" s="235"/>
      <c r="N16" s="127"/>
      <c r="O16" s="235"/>
      <c r="P16" s="235"/>
      <c r="Q16" s="276"/>
      <c r="S16" s="136"/>
      <c r="T16" s="234"/>
      <c r="U16" s="235"/>
      <c r="V16" s="127"/>
      <c r="W16" s="235"/>
      <c r="X16" s="235"/>
      <c r="Y16" s="276"/>
      <c r="AA16" s="136"/>
      <c r="AB16" s="234"/>
      <c r="AC16" s="235"/>
      <c r="AD16" s="127"/>
      <c r="AE16" s="235"/>
      <c r="AF16" s="235"/>
      <c r="AG16" s="276"/>
      <c r="AI16" s="136"/>
      <c r="AJ16" s="234"/>
      <c r="AK16" s="235"/>
      <c r="AL16" s="127"/>
      <c r="AM16" s="235"/>
      <c r="AN16" s="235"/>
      <c r="AO16" s="276"/>
      <c r="AQ16" s="136"/>
      <c r="AR16" s="234"/>
      <c r="AS16" s="235"/>
      <c r="AT16" s="127"/>
      <c r="AU16" s="235"/>
      <c r="AV16" s="235"/>
      <c r="AW16" s="276"/>
      <c r="AY16" s="136"/>
      <c r="AZ16" s="234"/>
      <c r="BA16" s="235"/>
      <c r="BB16" s="127"/>
      <c r="BC16" s="235"/>
      <c r="BD16" s="235"/>
      <c r="BE16" s="276"/>
      <c r="BG16" s="136"/>
      <c r="BH16" s="234"/>
      <c r="BI16" s="235"/>
      <c r="BJ16" s="127"/>
      <c r="BK16" s="235"/>
      <c r="BL16" s="235"/>
      <c r="BM16" s="276"/>
      <c r="BO16" s="136"/>
      <c r="BP16" s="234"/>
      <c r="BQ16" s="235"/>
      <c r="BR16" s="127"/>
      <c r="BS16" s="235"/>
      <c r="BT16" s="235"/>
      <c r="BU16" s="276"/>
      <c r="BW16" s="136"/>
      <c r="BX16" s="234"/>
      <c r="BY16" s="235"/>
      <c r="BZ16" s="127"/>
      <c r="CA16" s="235"/>
      <c r="CB16" s="235"/>
      <c r="CC16" s="276"/>
      <c r="CE16" s="136"/>
      <c r="CF16" s="234"/>
      <c r="CG16" s="235"/>
      <c r="CH16" s="127"/>
      <c r="CI16" s="235"/>
      <c r="CJ16" s="235"/>
      <c r="CK16" s="276"/>
      <c r="CM16" s="136"/>
      <c r="CN16" s="234"/>
      <c r="CO16" s="235"/>
      <c r="CP16" s="127"/>
      <c r="CQ16" s="235"/>
      <c r="CR16" s="235"/>
      <c r="CS16" s="276"/>
      <c r="CU16" s="136"/>
      <c r="CV16" s="234"/>
      <c r="CW16" s="235"/>
      <c r="CX16" s="127"/>
      <c r="CY16" s="235"/>
      <c r="CZ16" s="235"/>
      <c r="DA16" s="276"/>
      <c r="DC16" s="136"/>
      <c r="DD16" s="234"/>
      <c r="DE16" s="235"/>
      <c r="DF16" s="127"/>
      <c r="DG16" s="235"/>
      <c r="DH16" s="235"/>
      <c r="DI16" s="276"/>
      <c r="DK16" s="136"/>
      <c r="DL16" s="234"/>
      <c r="DM16" s="235"/>
      <c r="DN16" s="127"/>
      <c r="DO16" s="235"/>
      <c r="DP16" s="235"/>
      <c r="DQ16" s="276"/>
      <c r="DS16" s="136"/>
      <c r="DT16" s="234"/>
      <c r="DU16" s="235"/>
      <c r="DV16" s="127"/>
      <c r="DW16" s="235"/>
      <c r="DX16" s="235"/>
      <c r="DY16" s="276"/>
      <c r="EA16" s="136"/>
      <c r="EB16" s="234"/>
      <c r="EC16" s="235"/>
      <c r="ED16" s="127"/>
      <c r="EE16" s="235"/>
      <c r="EF16" s="235"/>
      <c r="EG16" s="276"/>
      <c r="EI16" s="136"/>
      <c r="EJ16" s="234"/>
      <c r="EK16" s="235"/>
      <c r="EL16" s="127"/>
      <c r="EM16" s="235"/>
      <c r="EN16" s="235"/>
      <c r="EO16" s="276"/>
      <c r="EQ16" s="136"/>
      <c r="ER16" s="234"/>
      <c r="ES16" s="235"/>
      <c r="ET16" s="127"/>
      <c r="EU16" s="235"/>
      <c r="EV16" s="235"/>
      <c r="EW16" s="276"/>
      <c r="EY16" s="136"/>
      <c r="EZ16" s="234"/>
      <c r="FA16" s="235"/>
      <c r="FB16" s="127"/>
      <c r="FC16" s="235"/>
      <c r="FD16" s="235"/>
      <c r="FE16" s="276"/>
      <c r="FG16" s="136"/>
      <c r="FH16" s="234"/>
      <c r="FI16" s="235"/>
      <c r="FJ16" s="127"/>
      <c r="FK16" s="235"/>
      <c r="FL16" s="235"/>
      <c r="FM16" s="276"/>
      <c r="FO16" s="136"/>
      <c r="FP16" s="234"/>
      <c r="FQ16" s="235"/>
      <c r="FR16" s="127"/>
      <c r="FS16" s="235"/>
      <c r="FT16" s="235"/>
      <c r="FU16" s="276"/>
      <c r="FW16" s="136"/>
      <c r="FX16" s="234"/>
      <c r="FY16" s="235"/>
      <c r="FZ16" s="127"/>
      <c r="GA16" s="235"/>
      <c r="GB16" s="235"/>
      <c r="GC16" s="276"/>
      <c r="GE16" s="136"/>
      <c r="GF16" s="234"/>
      <c r="GG16" s="235"/>
      <c r="GH16" s="127"/>
      <c r="GI16" s="235"/>
      <c r="GJ16" s="235"/>
      <c r="GK16" s="276"/>
      <c r="GM16" s="136"/>
      <c r="GN16" s="234"/>
      <c r="GO16" s="235"/>
      <c r="GP16" s="127"/>
      <c r="GQ16" s="235"/>
      <c r="GR16" s="235"/>
      <c r="GS16" s="276"/>
      <c r="GU16" s="136"/>
      <c r="GV16" s="234"/>
      <c r="GW16" s="235"/>
      <c r="GX16" s="127"/>
      <c r="GY16" s="235"/>
      <c r="GZ16" s="235"/>
      <c r="HA16" s="276"/>
      <c r="HC16" s="136"/>
      <c r="HD16" s="234"/>
      <c r="HE16" s="235"/>
      <c r="HF16" s="127"/>
      <c r="HG16" s="235"/>
      <c r="HH16" s="235"/>
      <c r="HI16" s="276"/>
      <c r="HK16" s="136"/>
      <c r="HL16" s="234"/>
      <c r="HM16" s="235"/>
      <c r="HN16" s="127"/>
      <c r="HO16" s="235"/>
      <c r="HP16" s="235"/>
      <c r="HQ16" s="276"/>
      <c r="HS16" s="136"/>
      <c r="HT16" s="234"/>
      <c r="HU16" s="235"/>
      <c r="HV16" s="127"/>
      <c r="HW16" s="235"/>
      <c r="HX16" s="235"/>
      <c r="HY16" s="276"/>
      <c r="IA16" s="136"/>
      <c r="IB16" s="234"/>
      <c r="IC16" s="235"/>
      <c r="ID16" s="127"/>
      <c r="IE16" s="235"/>
      <c r="IF16" s="235"/>
      <c r="IG16" s="276"/>
      <c r="II16" s="136"/>
      <c r="IJ16" s="234"/>
      <c r="IK16" s="235"/>
      <c r="IL16" s="127"/>
      <c r="IM16" s="235"/>
      <c r="IN16" s="235"/>
      <c r="IO16" s="276"/>
      <c r="IQ16" s="136"/>
      <c r="IR16" s="234"/>
      <c r="IS16" s="235"/>
      <c r="IT16" s="127"/>
      <c r="IU16" s="235"/>
      <c r="IV16" s="235"/>
    </row>
    <row r="17" spans="2:12">
      <c r="B17" s="135"/>
      <c r="C17" s="237"/>
      <c r="D17" s="237"/>
      <c r="E17" s="433"/>
      <c r="F17" s="235"/>
      <c r="G17" s="352"/>
      <c r="H17" s="277"/>
      <c r="I17" s="277"/>
      <c r="J17" s="121"/>
      <c r="K17" s="121"/>
      <c r="L17" s="925"/>
    </row>
    <row r="18" spans="2:12" s="79" customFormat="1" ht="11.65">
      <c r="B18" s="191" t="s">
        <v>78</v>
      </c>
      <c r="C18" s="236">
        <f>+SUM(C14:C16)</f>
        <v>11946</v>
      </c>
      <c r="D18" s="236"/>
      <c r="E18" s="434" t="e">
        <f>+SUM(E14:E16)</f>
        <v>#REF!</v>
      </c>
      <c r="F18" s="236" t="e">
        <f>+SUM(F14:F16)</f>
        <v>#REF!</v>
      </c>
      <c r="G18" s="353" t="e">
        <f>+F18/C18</f>
        <v>#REF!</v>
      </c>
      <c r="J18" s="617"/>
      <c r="K18" s="617"/>
    </row>
    <row r="19" spans="2:12">
      <c r="B19" s="135"/>
      <c r="C19" s="237"/>
      <c r="D19" s="237"/>
      <c r="E19" s="433"/>
      <c r="F19" s="235"/>
      <c r="G19" s="353"/>
      <c r="J19" s="121"/>
      <c r="K19" s="121"/>
    </row>
    <row r="20" spans="2:12" s="79" customFormat="1" ht="12" thickBot="1">
      <c r="B20" s="191" t="s">
        <v>79</v>
      </c>
      <c r="C20" s="236">
        <f>+C18+C11</f>
        <v>1093430.03</v>
      </c>
      <c r="D20" s="236"/>
      <c r="E20" s="434" t="e">
        <f>+E18+E11</f>
        <v>#REF!</v>
      </c>
      <c r="F20" s="236" t="e">
        <f>+F18+F11</f>
        <v>#REF!</v>
      </c>
      <c r="G20" s="353" t="e">
        <f>+F20/C20</f>
        <v>#REF!</v>
      </c>
      <c r="J20" s="617"/>
      <c r="K20" s="617"/>
    </row>
    <row r="21" spans="2:12">
      <c r="B21" s="135"/>
      <c r="C21" s="237"/>
      <c r="D21" s="237"/>
      <c r="E21" s="433"/>
      <c r="F21" s="235"/>
      <c r="G21" s="353"/>
      <c r="I21" s="1442"/>
      <c r="J21" s="1438" t="s">
        <v>80</v>
      </c>
      <c r="K21" s="1444" t="s">
        <v>81</v>
      </c>
      <c r="L21" s="1440" t="s">
        <v>82</v>
      </c>
    </row>
    <row r="22" spans="2:12" ht="23.25" customHeight="1" thickBot="1">
      <c r="B22" s="188" t="s">
        <v>83</v>
      </c>
      <c r="C22" s="238"/>
      <c r="D22" s="238"/>
      <c r="E22" s="433"/>
      <c r="F22" s="235"/>
      <c r="G22" s="353"/>
      <c r="I22" s="1443"/>
      <c r="J22" s="1439"/>
      <c r="K22" s="1445"/>
      <c r="L22" s="1441"/>
    </row>
    <row r="23" spans="2:12">
      <c r="B23" s="193" t="str">
        <f>'[2]Four Year Projection'!A28</f>
        <v>Administration</v>
      </c>
      <c r="C23" s="239" t="e">
        <f>Administration!#REF!</f>
        <v>#REF!</v>
      </c>
      <c r="D23" s="239"/>
      <c r="E23" s="435" t="e">
        <f>Administration!#REF!</f>
        <v>#REF!</v>
      </c>
      <c r="F23" s="235" t="e">
        <f>+E23-C23</f>
        <v>#REF!</v>
      </c>
      <c r="G23" s="353" t="e">
        <f>+F23/C23</f>
        <v>#REF!</v>
      </c>
      <c r="I23" s="698"/>
      <c r="J23" s="708">
        <v>0.19539999999999999</v>
      </c>
      <c r="K23" s="702" t="e">
        <f>G23</f>
        <v>#REF!</v>
      </c>
      <c r="L23" s="709" t="e">
        <f>G23-J23</f>
        <v>#REF!</v>
      </c>
    </row>
    <row r="24" spans="2:12">
      <c r="B24" s="193" t="str">
        <f>'[2]Four Year Projection'!A29</f>
        <v>ASI Student Government</v>
      </c>
      <c r="C24" s="239">
        <f>'Student Government'!E47</f>
        <v>522243.37393744005</v>
      </c>
      <c r="D24" s="239"/>
      <c r="E24" s="435">
        <f>'Student Government'!F47</f>
        <v>531870.80121618882</v>
      </c>
      <c r="F24" s="235">
        <f>+E24-C24</f>
        <v>9627.4272787487716</v>
      </c>
      <c r="G24" s="353">
        <f>+F24/C24</f>
        <v>1.8434752376393096E-2</v>
      </c>
      <c r="I24" s="698"/>
      <c r="J24" s="703">
        <v>0.1404</v>
      </c>
      <c r="K24" s="701">
        <f>G24</f>
        <v>1.8434752376393096E-2</v>
      </c>
      <c r="L24" s="704">
        <f>G24-J24</f>
        <v>-0.1219652476236069</v>
      </c>
    </row>
    <row r="25" spans="2:12">
      <c r="B25" s="193" t="str">
        <f>'[2]Four Year Projection'!A30</f>
        <v>Student Service Center</v>
      </c>
      <c r="C25" s="239">
        <f>'Student Service Center'!E31</f>
        <v>136434.90596</v>
      </c>
      <c r="D25" s="239"/>
      <c r="E25" s="435">
        <f>'Student Service Center'!F31</f>
        <v>0</v>
      </c>
      <c r="F25" s="235">
        <f>+E25-C25</f>
        <v>-136434.90596</v>
      </c>
      <c r="G25" s="353">
        <f>+F25/C25</f>
        <v>-1</v>
      </c>
      <c r="I25" s="698"/>
      <c r="J25" s="703">
        <v>-1</v>
      </c>
      <c r="K25" s="701">
        <f>G25</f>
        <v>-1</v>
      </c>
      <c r="L25" s="704">
        <f>G25-J25</f>
        <v>0</v>
      </c>
    </row>
    <row r="26" spans="2:12" ht="13.15" thickBot="1">
      <c r="B26" s="193" t="s">
        <v>84</v>
      </c>
      <c r="C26" s="239">
        <f>'Student &amp; University Support'!E42</f>
        <v>489930</v>
      </c>
      <c r="D26" s="239"/>
      <c r="E26" s="435">
        <f>'Student &amp; University Support'!F42</f>
        <v>499728.6</v>
      </c>
      <c r="F26" s="235">
        <f>+E26-C26</f>
        <v>9798.5999999999767</v>
      </c>
      <c r="G26" s="353">
        <f>+F26/C26</f>
        <v>1.9999999999999952E-2</v>
      </c>
      <c r="I26" s="698"/>
      <c r="J26" s="705">
        <v>0.21970000000000001</v>
      </c>
      <c r="K26" s="706">
        <f>G26</f>
        <v>1.9999999999999952E-2</v>
      </c>
      <c r="L26" s="707">
        <f>G26-J26</f>
        <v>-0.19970000000000004</v>
      </c>
    </row>
    <row r="27" spans="2:12">
      <c r="B27" s="191" t="s">
        <v>85</v>
      </c>
      <c r="C27" s="240" t="e">
        <f>SUM(C23:C26)</f>
        <v>#REF!</v>
      </c>
      <c r="D27" s="240"/>
      <c r="E27" s="436" t="e">
        <f>SUM(E23:E26)</f>
        <v>#REF!</v>
      </c>
      <c r="F27" s="240" t="e">
        <f>SUM(F23:F26)</f>
        <v>#REF!</v>
      </c>
      <c r="G27" s="353" t="e">
        <f>+F27/C27</f>
        <v>#REF!</v>
      </c>
      <c r="I27" s="698"/>
    </row>
    <row r="28" spans="2:12">
      <c r="B28" s="1355"/>
      <c r="C28" s="237"/>
      <c r="D28" s="237"/>
      <c r="E28" s="433"/>
      <c r="F28" s="235"/>
      <c r="G28" s="353"/>
      <c r="L28" s="121"/>
    </row>
    <row r="29" spans="2:12" s="129" customFormat="1" ht="13.15">
      <c r="B29" s="134" t="s">
        <v>79</v>
      </c>
      <c r="C29" s="241">
        <f>+C20</f>
        <v>1093430.03</v>
      </c>
      <c r="D29" s="241"/>
      <c r="E29" s="437" t="e">
        <f>+E20</f>
        <v>#REF!</v>
      </c>
      <c r="F29" s="247" t="e">
        <f>+E29-C29</f>
        <v>#REF!</v>
      </c>
      <c r="G29" s="353" t="e">
        <f>+F29/C29</f>
        <v>#REF!</v>
      </c>
      <c r="L29" s="130"/>
    </row>
    <row r="30" spans="2:12" s="129" customFormat="1" ht="13.15">
      <c r="B30" s="134" t="s">
        <v>85</v>
      </c>
      <c r="C30" s="241" t="e">
        <f>+C27</f>
        <v>#REF!</v>
      </c>
      <c r="D30" s="241"/>
      <c r="E30" s="437" t="e">
        <f>+E27</f>
        <v>#REF!</v>
      </c>
      <c r="F30" s="247" t="e">
        <f>+E30-C30</f>
        <v>#REF!</v>
      </c>
      <c r="G30" s="353" t="e">
        <f>+F30/C30</f>
        <v>#REF!</v>
      </c>
    </row>
    <row r="31" spans="2:12" s="129" customFormat="1" ht="13.15">
      <c r="B31" s="134"/>
      <c r="C31" s="241"/>
      <c r="D31" s="241"/>
      <c r="E31" s="437"/>
      <c r="F31" s="247"/>
      <c r="G31" s="354"/>
    </row>
    <row r="32" spans="2:12" s="129" customFormat="1" ht="13.5" thickBot="1">
      <c r="B32" s="133" t="s">
        <v>86</v>
      </c>
      <c r="C32" s="241" t="e">
        <f>+C29-C30</f>
        <v>#REF!</v>
      </c>
      <c r="D32" s="241"/>
      <c r="E32" s="438" t="e">
        <f>+E29-E30</f>
        <v>#REF!</v>
      </c>
      <c r="F32" s="247"/>
      <c r="G32" s="354"/>
      <c r="J32" s="130"/>
      <c r="K32" s="130"/>
    </row>
    <row r="33" spans="2:12" s="129" customFormat="1" ht="13.15">
      <c r="B33" s="134"/>
      <c r="C33" s="241"/>
      <c r="D33" s="241"/>
      <c r="E33" s="241"/>
      <c r="F33" s="241"/>
      <c r="G33" s="354"/>
    </row>
    <row r="34" spans="2:12">
      <c r="B34" s="135"/>
      <c r="C34" s="237"/>
      <c r="D34" s="237"/>
      <c r="E34" s="235"/>
      <c r="F34" s="235"/>
      <c r="G34" s="351"/>
    </row>
    <row r="35" spans="2:12">
      <c r="B35" s="188"/>
      <c r="C35" s="235"/>
      <c r="D35" s="235"/>
      <c r="E35" s="237" t="s">
        <v>38</v>
      </c>
      <c r="F35" s="235" t="s">
        <v>38</v>
      </c>
      <c r="G35" s="351" t="s">
        <v>38</v>
      </c>
    </row>
    <row r="36" spans="2:12" ht="13.15" thickBot="1">
      <c r="B36" s="194"/>
      <c r="C36" s="243" t="s">
        <v>38</v>
      </c>
      <c r="D36" s="243"/>
      <c r="E36" s="243" t="s">
        <v>38</v>
      </c>
      <c r="F36" s="347" t="s">
        <v>38</v>
      </c>
      <c r="G36" s="351" t="s">
        <v>38</v>
      </c>
    </row>
    <row r="37" spans="2:12" ht="15.4" thickBot="1">
      <c r="B37" s="131" t="s">
        <v>87</v>
      </c>
      <c r="C37" s="244"/>
      <c r="D37" s="237"/>
      <c r="E37" s="242"/>
      <c r="F37" s="348"/>
      <c r="G37" s="351"/>
    </row>
    <row r="38" spans="2:12" s="79" customFormat="1" ht="13.15">
      <c r="B38" s="133" t="s">
        <v>88</v>
      </c>
      <c r="C38" s="245" t="e">
        <f>#REF!</f>
        <v>#REF!</v>
      </c>
      <c r="D38" s="245"/>
      <c r="E38" s="610">
        <f>C53</f>
        <v>1151424</v>
      </c>
      <c r="F38" s="236"/>
      <c r="G38" s="445" t="s">
        <v>89</v>
      </c>
      <c r="H38" s="446"/>
      <c r="I38" s="446"/>
      <c r="J38" s="446"/>
      <c r="K38" s="446"/>
      <c r="L38" s="447"/>
    </row>
    <row r="39" spans="2:12" s="79" customFormat="1" ht="12.75" customHeight="1">
      <c r="B39" s="133" t="str">
        <f>B32</f>
        <v>Net Operating Income/(Deficit)</v>
      </c>
      <c r="C39" s="245" t="e">
        <f>C32</f>
        <v>#REF!</v>
      </c>
      <c r="D39" s="245"/>
      <c r="E39" s="610" t="e">
        <f>E32</f>
        <v>#REF!</v>
      </c>
      <c r="F39" s="236"/>
      <c r="G39" s="1424" t="s">
        <v>90</v>
      </c>
      <c r="H39" s="1425"/>
      <c r="I39" s="1425"/>
      <c r="J39" s="1425"/>
      <c r="K39" s="1425"/>
      <c r="L39" s="1426"/>
    </row>
    <row r="40" spans="2:12" s="79" customFormat="1" ht="13.5" customHeight="1" thickBot="1">
      <c r="B40" s="133" t="s">
        <v>91</v>
      </c>
      <c r="C40" s="246">
        <v>0</v>
      </c>
      <c r="D40" s="246"/>
      <c r="E40" s="611">
        <v>0</v>
      </c>
      <c r="F40" s="236"/>
      <c r="G40" s="1427"/>
      <c r="H40" s="1425"/>
      <c r="I40" s="1425"/>
      <c r="J40" s="1425"/>
      <c r="K40" s="1425"/>
      <c r="L40" s="1426"/>
    </row>
    <row r="41" spans="2:12" s="129" customFormat="1" ht="13.15">
      <c r="B41" s="196"/>
      <c r="C41" s="241"/>
      <c r="D41" s="241"/>
      <c r="E41" s="612"/>
      <c r="F41" s="235"/>
      <c r="G41" s="1427"/>
      <c r="H41" s="1425"/>
      <c r="I41" s="1425"/>
      <c r="J41" s="1425"/>
      <c r="K41" s="1425"/>
      <c r="L41" s="1426"/>
    </row>
    <row r="42" spans="2:12" s="129" customFormat="1" ht="13.15">
      <c r="B42" s="133" t="s">
        <v>92</v>
      </c>
      <c r="C42" s="247" t="e">
        <f>SUM(C38:C40)</f>
        <v>#REF!</v>
      </c>
      <c r="D42" s="247"/>
      <c r="E42" s="613" t="e">
        <f>SUM(E38:E40)</f>
        <v>#REF!</v>
      </c>
      <c r="F42" s="236"/>
      <c r="G42" s="1427"/>
      <c r="H42" s="1425"/>
      <c r="I42" s="1425"/>
      <c r="J42" s="1425"/>
      <c r="K42" s="1425"/>
      <c r="L42" s="1426"/>
    </row>
    <row r="43" spans="2:12" ht="13.15">
      <c r="B43" s="133" t="s">
        <v>93</v>
      </c>
      <c r="C43" s="241" t="e">
        <f>C42*0.03</f>
        <v>#REF!</v>
      </c>
      <c r="D43" s="241"/>
      <c r="E43" s="615"/>
      <c r="F43" s="235"/>
      <c r="G43" s="1427"/>
      <c r="H43" s="1425"/>
      <c r="I43" s="1425"/>
      <c r="J43" s="1425"/>
      <c r="K43" s="1425"/>
      <c r="L43" s="1426"/>
    </row>
    <row r="44" spans="2:12">
      <c r="B44" s="135"/>
      <c r="C44" s="237"/>
      <c r="D44" s="237"/>
      <c r="E44" s="615"/>
      <c r="F44" s="235"/>
      <c r="G44" s="1427"/>
      <c r="H44" s="1425"/>
      <c r="I44" s="1425"/>
      <c r="J44" s="1425"/>
      <c r="K44" s="1425"/>
      <c r="L44" s="1426"/>
    </row>
    <row r="45" spans="2:12" ht="13.15" thickBot="1">
      <c r="B45" s="135"/>
      <c r="C45" s="237"/>
      <c r="D45" s="237"/>
      <c r="E45" s="615"/>
      <c r="F45" s="235"/>
      <c r="G45" s="1427"/>
      <c r="H45" s="1425"/>
      <c r="I45" s="1425"/>
      <c r="J45" s="1425"/>
      <c r="K45" s="1425"/>
      <c r="L45" s="1426"/>
    </row>
    <row r="46" spans="2:12" ht="15.75" customHeight="1">
      <c r="B46" s="692" t="s">
        <v>94</v>
      </c>
      <c r="C46" s="132"/>
      <c r="D46" s="132"/>
      <c r="E46" s="683"/>
      <c r="F46" s="684"/>
      <c r="G46" s="1425"/>
      <c r="H46" s="1425"/>
      <c r="I46" s="1425"/>
      <c r="J46" s="1425"/>
      <c r="K46" s="1425"/>
      <c r="L46" s="1426"/>
    </row>
    <row r="47" spans="2:12" ht="13.5" customHeight="1" thickBot="1">
      <c r="B47" s="1356" t="s">
        <v>95</v>
      </c>
      <c r="C47" s="1357">
        <v>1150172</v>
      </c>
      <c r="D47" s="1357"/>
      <c r="E47" s="676"/>
      <c r="F47" s="685"/>
      <c r="G47" s="1428"/>
      <c r="H47" s="1428"/>
      <c r="I47" s="1428"/>
      <c r="J47" s="1428"/>
      <c r="K47" s="1428"/>
      <c r="L47" s="1429"/>
    </row>
    <row r="48" spans="2:12">
      <c r="B48" s="1358" t="s">
        <v>96</v>
      </c>
      <c r="C48" s="1357">
        <v>1081485</v>
      </c>
      <c r="D48" s="1357"/>
      <c r="E48" s="677" t="s">
        <v>97</v>
      </c>
      <c r="F48" s="686"/>
      <c r="G48" s="1430" t="s">
        <v>98</v>
      </c>
      <c r="H48" s="1430"/>
      <c r="I48" s="1430"/>
      <c r="J48" s="1430"/>
      <c r="K48" s="1430"/>
      <c r="L48" s="1431"/>
    </row>
    <row r="49" spans="2:12">
      <c r="B49" s="1358" t="s">
        <v>99</v>
      </c>
      <c r="C49" s="1357">
        <v>6549</v>
      </c>
      <c r="D49" s="1357"/>
      <c r="E49" s="677" t="s">
        <v>100</v>
      </c>
      <c r="F49" s="687"/>
      <c r="G49" s="1432" t="s">
        <v>101</v>
      </c>
      <c r="H49" s="1432"/>
      <c r="I49" s="1432"/>
      <c r="J49" s="1432"/>
      <c r="K49" s="1432"/>
      <c r="L49" s="1433"/>
    </row>
    <row r="50" spans="2:12" ht="13.15" thickBot="1">
      <c r="B50" s="1356" t="s">
        <v>102</v>
      </c>
      <c r="C50" s="1359">
        <v>-1086782</v>
      </c>
      <c r="D50" s="1357"/>
      <c r="E50" s="677" t="s">
        <v>97</v>
      </c>
      <c r="F50" s="687"/>
      <c r="G50" s="1432"/>
      <c r="H50" s="1432"/>
      <c r="I50" s="1432"/>
      <c r="J50" s="1432"/>
      <c r="K50" s="1432"/>
      <c r="L50" s="1433"/>
    </row>
    <row r="51" spans="2:12" ht="13.5" customHeight="1">
      <c r="B51" s="141" t="s">
        <v>103</v>
      </c>
      <c r="C51" s="673">
        <f>SUM(C48:C50)</f>
        <v>1252</v>
      </c>
      <c r="D51" s="673"/>
      <c r="E51" s="674"/>
      <c r="F51" s="688"/>
      <c r="G51" s="1432"/>
      <c r="H51" s="1432"/>
      <c r="I51" s="1432"/>
      <c r="J51" s="1432"/>
      <c r="K51" s="1432"/>
      <c r="L51" s="1433"/>
    </row>
    <row r="52" spans="2:12" ht="6" customHeight="1">
      <c r="B52" s="146"/>
      <c r="C52" s="673"/>
      <c r="D52" s="673"/>
      <c r="E52" s="674"/>
      <c r="F52" s="688"/>
      <c r="G52" s="1432"/>
      <c r="H52" s="1432"/>
      <c r="I52" s="1432"/>
      <c r="J52" s="1432"/>
      <c r="K52" s="1432"/>
      <c r="L52" s="1433"/>
    </row>
    <row r="53" spans="2:12" ht="13.5" customHeight="1" thickBot="1">
      <c r="B53" s="679" t="s">
        <v>104</v>
      </c>
      <c r="C53" s="672">
        <f>C47+C51</f>
        <v>1151424</v>
      </c>
      <c r="D53" s="673"/>
      <c r="E53" s="674"/>
      <c r="F53" s="688"/>
      <c r="G53" s="1432"/>
      <c r="H53" s="1432"/>
      <c r="I53" s="1432"/>
      <c r="J53" s="1432"/>
      <c r="K53" s="1432"/>
      <c r="L53" s="1433"/>
    </row>
    <row r="54" spans="2:12" ht="6" customHeight="1">
      <c r="B54" s="135"/>
      <c r="C54" s="88"/>
      <c r="D54" s="88"/>
      <c r="E54" s="127"/>
      <c r="F54" s="688"/>
      <c r="G54" s="1432"/>
      <c r="H54" s="1432"/>
      <c r="I54" s="1432"/>
      <c r="J54" s="1432"/>
      <c r="K54" s="1432"/>
      <c r="L54" s="1433"/>
    </row>
    <row r="55" spans="2:12" ht="13.15">
      <c r="B55" s="679" t="s">
        <v>105</v>
      </c>
      <c r="C55" s="237">
        <f>C53*3%</f>
        <v>34542.720000000001</v>
      </c>
      <c r="D55" s="237"/>
      <c r="E55" s="87"/>
      <c r="F55" s="688"/>
      <c r="G55" s="1432"/>
      <c r="H55" s="1432"/>
      <c r="I55" s="1432"/>
      <c r="J55" s="1432"/>
      <c r="K55" s="1432"/>
      <c r="L55" s="1433"/>
    </row>
    <row r="56" spans="2:12" ht="13.5" thickBot="1">
      <c r="B56" s="133"/>
      <c r="C56" s="682"/>
      <c r="D56" s="237"/>
      <c r="E56" s="681" t="s">
        <v>106</v>
      </c>
      <c r="F56" s="688"/>
      <c r="G56" s="1432"/>
      <c r="H56" s="1432"/>
      <c r="I56" s="1432"/>
      <c r="J56" s="1432"/>
      <c r="K56" s="1432"/>
      <c r="L56" s="1433"/>
    </row>
    <row r="57" spans="2:12" ht="17.25" thickTop="1" thickBot="1">
      <c r="B57" s="133" t="s">
        <v>107</v>
      </c>
      <c r="C57" s="243">
        <f>C53-C55</f>
        <v>1116881.28</v>
      </c>
      <c r="D57" s="237"/>
      <c r="E57" s="680" t="s">
        <v>108</v>
      </c>
      <c r="F57" s="688"/>
      <c r="G57" s="1432"/>
      <c r="H57" s="1432"/>
      <c r="I57" s="1432"/>
      <c r="J57" s="1432"/>
      <c r="K57" s="1432"/>
      <c r="L57" s="1433"/>
    </row>
    <row r="58" spans="2:12" ht="12.75" customHeight="1">
      <c r="B58" s="1436" t="s">
        <v>109</v>
      </c>
      <c r="C58" s="237"/>
      <c r="D58" s="237"/>
      <c r="E58" s="671" t="s">
        <v>110</v>
      </c>
      <c r="F58" s="688"/>
      <c r="G58" s="1432"/>
      <c r="H58" s="1432"/>
      <c r="I58" s="1432"/>
      <c r="J58" s="1432"/>
      <c r="K58" s="1432"/>
      <c r="L58" s="1433"/>
    </row>
    <row r="59" spans="2:12" ht="27.75" customHeight="1" thickBot="1">
      <c r="B59" s="1437"/>
      <c r="C59" s="137"/>
      <c r="D59" s="137"/>
      <c r="E59" s="138"/>
      <c r="F59" s="689"/>
      <c r="G59" s="1434"/>
      <c r="H59" s="1434"/>
      <c r="I59" s="1434"/>
      <c r="J59" s="1434"/>
      <c r="K59" s="1434"/>
      <c r="L59" s="1435"/>
    </row>
    <row r="60" spans="2:12">
      <c r="C60" s="88"/>
      <c r="D60" s="88"/>
      <c r="E60" s="127"/>
    </row>
    <row r="61" spans="2:12">
      <c r="B61" s="125"/>
      <c r="C61" s="88"/>
      <c r="D61" s="88"/>
      <c r="E61" s="235"/>
    </row>
    <row r="62" spans="2:12">
      <c r="C62" s="88"/>
      <c r="D62" s="88"/>
      <c r="E62" s="127"/>
    </row>
    <row r="63" spans="2:12">
      <c r="C63" s="237"/>
      <c r="D63" s="237"/>
      <c r="E63" s="127"/>
    </row>
    <row r="64" spans="2:12">
      <c r="C64" s="1360"/>
      <c r="D64" s="1360"/>
    </row>
    <row r="65" spans="3:7" s="37" customFormat="1">
      <c r="C65" s="1360"/>
      <c r="D65" s="1360"/>
      <c r="E65" s="68"/>
      <c r="F65" s="68"/>
      <c r="G65" s="203"/>
    </row>
    <row r="66" spans="3:7">
      <c r="C66" s="664"/>
      <c r="D66" s="664"/>
    </row>
    <row r="67" spans="3:7">
      <c r="C67" s="664"/>
      <c r="D67" s="664"/>
    </row>
    <row r="68" spans="3:7">
      <c r="C68" s="664"/>
      <c r="D68" s="664"/>
    </row>
    <row r="69" spans="3:7">
      <c r="C69" s="1360"/>
      <c r="D69" s="1360"/>
    </row>
    <row r="70" spans="3:7">
      <c r="C70" s="1360"/>
      <c r="D70" s="1360"/>
    </row>
    <row r="71" spans="3:7">
      <c r="C71" s="1360"/>
      <c r="D71" s="1360"/>
    </row>
    <row r="72" spans="3:7">
      <c r="C72" s="1360"/>
      <c r="D72" s="1360"/>
    </row>
    <row r="73" spans="3:7">
      <c r="C73" s="1360"/>
      <c r="D73" s="1360"/>
    </row>
    <row r="74" spans="3:7">
      <c r="C74" s="1360"/>
      <c r="D74" s="1360"/>
    </row>
    <row r="75" spans="3:7">
      <c r="C75" s="1360"/>
      <c r="D75" s="1360"/>
    </row>
    <row r="76" spans="3:7">
      <c r="C76" s="1360"/>
      <c r="D76" s="1360"/>
    </row>
    <row r="77" spans="3:7">
      <c r="C77" s="1360"/>
      <c r="D77" s="1360"/>
    </row>
    <row r="78" spans="3:7">
      <c r="C78" s="1360"/>
      <c r="D78" s="1360"/>
    </row>
    <row r="79" spans="3:7">
      <c r="C79" s="1360"/>
      <c r="D79" s="1360"/>
    </row>
    <row r="80" spans="3:7">
      <c r="C80" s="1360"/>
      <c r="D80" s="1360"/>
    </row>
    <row r="81" spans="3:4">
      <c r="C81" s="1360"/>
      <c r="D81" s="1360"/>
    </row>
    <row r="82" spans="3:4">
      <c r="C82" s="1360"/>
      <c r="D82" s="1360"/>
    </row>
    <row r="83" spans="3:4">
      <c r="C83" s="1360"/>
      <c r="D83" s="1360"/>
    </row>
  </sheetData>
  <mergeCells count="8">
    <mergeCell ref="G39:L47"/>
    <mergeCell ref="G48:L48"/>
    <mergeCell ref="G49:L59"/>
    <mergeCell ref="B58:B59"/>
    <mergeCell ref="J21:J22"/>
    <mergeCell ref="L21:L22"/>
    <mergeCell ref="I21:I22"/>
    <mergeCell ref="K21:K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vt:i4>
      </vt:variant>
    </vt:vector>
  </HeadingPairs>
  <TitlesOfParts>
    <vt:vector size="22" baseType="lpstr">
      <vt:lpstr>Sheet1</vt:lpstr>
      <vt:lpstr>Update Memo to BOD</vt:lpstr>
      <vt:lpstr>3&amp;9 Memo to BOD</vt:lpstr>
      <vt:lpstr>Draft of 6&amp;6</vt:lpstr>
      <vt:lpstr>A.S.I. Memo to FC6&amp;6</vt:lpstr>
      <vt:lpstr>A.S.I. Memo to Fin</vt:lpstr>
      <vt:lpstr>Cover Sheet</vt:lpstr>
      <vt:lpstr>Student Fees</vt:lpstr>
      <vt:lpstr>Sheet2</vt:lpstr>
      <vt:lpstr>Sheet3</vt:lpstr>
      <vt:lpstr>A.S.I. Revenue Projections</vt:lpstr>
      <vt:lpstr>Revenue &amp; Investments $21</vt:lpstr>
      <vt:lpstr>College Year Projections2017-18</vt:lpstr>
      <vt:lpstr>Administration</vt:lpstr>
      <vt:lpstr>Student Government</vt:lpstr>
      <vt:lpstr>Student Service Center</vt:lpstr>
      <vt:lpstr>Student &amp; University Support</vt:lpstr>
      <vt:lpstr>4Yr Projection</vt:lpstr>
      <vt:lpstr>2014 Student Rev Project $21</vt:lpstr>
      <vt:lpstr>Comment Variance Explanation</vt:lpstr>
      <vt:lpstr>'4Yr Projection'!Print_Area</vt:lpstr>
      <vt:lpstr>Administration!Print_Area</vt:lpstr>
    </vt:vector>
  </TitlesOfParts>
  <Manager/>
  <Company>Cal State 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Intef W. Weser</dc:creator>
  <cp:keywords/>
  <dc:description/>
  <cp:lastModifiedBy>Administrator</cp:lastModifiedBy>
  <cp:revision/>
  <dcterms:created xsi:type="dcterms:W3CDTF">2008-05-14T22:57:22Z</dcterms:created>
  <dcterms:modified xsi:type="dcterms:W3CDTF">2017-11-17T20:58:41Z</dcterms:modified>
  <cp:category/>
  <cp:contentStatus/>
</cp:coreProperties>
</file>